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\KMPS\Exhibitions\CPHI Milan 2024\Print material\Panels\"/>
    </mc:Choice>
  </mc:AlternateContent>
  <xr:revisionPtr revIDLastSave="0" documentId="13_ncr:1_{98677C11-C081-4647-BD0D-EFA3A98E999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C2324" i="1" l="1"/>
  <c r="B2324" i="1"/>
  <c r="C2323" i="1"/>
  <c r="B2323" i="1"/>
  <c r="C2322" i="1"/>
  <c r="B2322" i="1"/>
  <c r="C2321" i="1"/>
  <c r="B2321" i="1"/>
  <c r="C2320" i="1"/>
  <c r="B2320" i="1"/>
  <c r="C2319" i="1"/>
  <c r="B2319" i="1"/>
  <c r="C2318" i="1"/>
  <c r="B2318" i="1"/>
  <c r="C2317" i="1"/>
  <c r="B2317" i="1"/>
  <c r="C2316" i="1"/>
  <c r="B2316" i="1"/>
  <c r="C2315" i="1"/>
  <c r="B2315" i="1"/>
  <c r="C2314" i="1"/>
  <c r="B2314" i="1"/>
  <c r="C2313" i="1"/>
  <c r="B2313" i="1"/>
  <c r="C2312" i="1"/>
  <c r="B2312" i="1"/>
  <c r="C2311" i="1"/>
  <c r="B2311" i="1"/>
  <c r="C2310" i="1"/>
  <c r="B2310" i="1"/>
  <c r="C2309" i="1"/>
  <c r="B2309" i="1"/>
  <c r="C2308" i="1"/>
  <c r="B2308" i="1"/>
  <c r="C2307" i="1"/>
  <c r="B2307" i="1"/>
  <c r="C2306" i="1"/>
  <c r="B2306" i="1"/>
  <c r="C2305" i="1"/>
  <c r="B2305" i="1"/>
  <c r="C2304" i="1"/>
  <c r="B2304" i="1"/>
  <c r="C2303" i="1"/>
  <c r="B2303" i="1"/>
  <c r="C2302" i="1"/>
  <c r="B2302" i="1"/>
  <c r="C2301" i="1"/>
  <c r="B2301" i="1"/>
  <c r="C2300" i="1"/>
  <c r="B2300" i="1"/>
  <c r="C2299" i="1"/>
  <c r="B2299" i="1"/>
  <c r="C2298" i="1"/>
  <c r="B2298" i="1"/>
  <c r="C2297" i="1"/>
  <c r="B2297" i="1"/>
  <c r="C2296" i="1"/>
  <c r="B2296" i="1"/>
  <c r="C2295" i="1"/>
  <c r="B2295" i="1"/>
  <c r="C2294" i="1"/>
  <c r="B2294" i="1"/>
  <c r="C2293" i="1"/>
  <c r="B2293" i="1"/>
  <c r="C2292" i="1"/>
  <c r="B2292" i="1"/>
  <c r="C2291" i="1"/>
  <c r="B2291" i="1"/>
  <c r="C2290" i="1"/>
  <c r="B2290" i="1"/>
  <c r="C2289" i="1"/>
  <c r="B2289" i="1"/>
  <c r="C2288" i="1"/>
  <c r="B2288" i="1"/>
  <c r="C2287" i="1"/>
  <c r="B2287" i="1"/>
  <c r="C2286" i="1"/>
  <c r="B2286" i="1"/>
  <c r="C2285" i="1"/>
  <c r="B2285" i="1"/>
  <c r="C2284" i="1"/>
  <c r="B2284" i="1"/>
  <c r="C2283" i="1"/>
  <c r="B2283" i="1"/>
  <c r="C2282" i="1"/>
  <c r="B2282" i="1"/>
  <c r="C2281" i="1"/>
  <c r="B2281" i="1"/>
  <c r="C2280" i="1"/>
  <c r="B2280" i="1"/>
  <c r="C2279" i="1"/>
  <c r="B2279" i="1"/>
  <c r="C2278" i="1"/>
  <c r="B2278" i="1"/>
  <c r="C2277" i="1"/>
  <c r="B2277" i="1"/>
  <c r="C2276" i="1"/>
  <c r="B2276" i="1"/>
  <c r="C2275" i="1"/>
  <c r="B2275" i="1"/>
  <c r="C2274" i="1"/>
  <c r="B2274" i="1"/>
  <c r="C2273" i="1"/>
  <c r="B2273" i="1"/>
  <c r="C2272" i="1"/>
  <c r="B2272" i="1"/>
  <c r="C2271" i="1"/>
  <c r="B2271" i="1"/>
  <c r="C2270" i="1"/>
  <c r="B2270" i="1"/>
  <c r="C2269" i="1"/>
  <c r="B2269" i="1"/>
  <c r="C2268" i="1"/>
  <c r="B2268" i="1"/>
  <c r="C2267" i="1"/>
  <c r="B2267" i="1"/>
  <c r="C2266" i="1"/>
  <c r="B2266" i="1"/>
  <c r="C2265" i="1"/>
  <c r="B2265" i="1"/>
  <c r="C2264" i="1"/>
  <c r="B2264" i="1"/>
  <c r="C2263" i="1"/>
  <c r="B2263" i="1"/>
  <c r="C2262" i="1"/>
  <c r="B2262" i="1"/>
  <c r="C2261" i="1"/>
  <c r="B2261" i="1"/>
  <c r="C2260" i="1"/>
  <c r="B2260" i="1"/>
  <c r="C2259" i="1"/>
  <c r="B2259" i="1"/>
  <c r="C2258" i="1"/>
  <c r="B2258" i="1"/>
  <c r="C2257" i="1"/>
  <c r="B2257" i="1"/>
  <c r="C2256" i="1"/>
  <c r="B2256" i="1"/>
  <c r="C2255" i="1"/>
  <c r="B2255" i="1"/>
  <c r="C2254" i="1"/>
  <c r="B2254" i="1"/>
  <c r="C2253" i="1"/>
  <c r="B2253" i="1"/>
  <c r="C2252" i="1"/>
  <c r="B2252" i="1"/>
  <c r="C2251" i="1"/>
  <c r="B2251" i="1"/>
  <c r="C2250" i="1"/>
  <c r="B2250" i="1"/>
  <c r="C2249" i="1"/>
  <c r="B2249" i="1"/>
  <c r="C2248" i="1"/>
  <c r="B2248" i="1"/>
  <c r="C2247" i="1"/>
  <c r="B2247" i="1"/>
  <c r="C2246" i="1"/>
  <c r="B2246" i="1"/>
  <c r="C2245" i="1"/>
  <c r="B2245" i="1"/>
  <c r="C2244" i="1"/>
  <c r="B2244" i="1"/>
  <c r="C2243" i="1"/>
  <c r="B2243" i="1"/>
  <c r="C2242" i="1"/>
  <c r="B2242" i="1"/>
  <c r="C2241" i="1"/>
  <c r="B2241" i="1"/>
  <c r="C2240" i="1"/>
  <c r="B2240" i="1"/>
  <c r="C2239" i="1"/>
  <c r="B2239" i="1"/>
  <c r="C2238" i="1"/>
  <c r="B2238" i="1"/>
  <c r="C2237" i="1"/>
  <c r="B2237" i="1"/>
  <c r="C2236" i="1"/>
  <c r="B2236" i="1"/>
  <c r="C2235" i="1"/>
  <c r="B2235" i="1"/>
  <c r="C2234" i="1"/>
  <c r="B2234" i="1"/>
  <c r="C2233" i="1"/>
  <c r="B2233" i="1"/>
  <c r="C2232" i="1"/>
  <c r="B2232" i="1"/>
  <c r="C2231" i="1"/>
  <c r="B2231" i="1"/>
  <c r="C2230" i="1"/>
  <c r="B2230" i="1"/>
  <c r="C2229" i="1"/>
  <c r="B2229" i="1"/>
  <c r="C2228" i="1"/>
  <c r="B2228" i="1"/>
  <c r="C2227" i="1"/>
  <c r="B2227" i="1"/>
  <c r="C2226" i="1"/>
  <c r="B2226" i="1"/>
  <c r="C2225" i="1"/>
  <c r="B2225" i="1"/>
  <c r="C2224" i="1"/>
  <c r="B2224" i="1"/>
  <c r="C2223" i="1"/>
  <c r="B2223" i="1"/>
  <c r="C2222" i="1"/>
  <c r="B2222" i="1"/>
  <c r="C2221" i="1"/>
  <c r="B2221" i="1"/>
  <c r="C2220" i="1"/>
  <c r="B2220" i="1"/>
  <c r="C2219" i="1"/>
  <c r="B2219" i="1"/>
  <c r="C2218" i="1"/>
  <c r="B2218" i="1"/>
  <c r="C2217" i="1"/>
  <c r="B2217" i="1"/>
  <c r="C2216" i="1"/>
  <c r="B2216" i="1"/>
  <c r="C2215" i="1"/>
  <c r="B2215" i="1"/>
  <c r="C2214" i="1"/>
  <c r="B2214" i="1"/>
  <c r="C2213" i="1"/>
  <c r="B2213" i="1"/>
  <c r="C2212" i="1"/>
  <c r="B2212" i="1"/>
  <c r="C2211" i="1"/>
  <c r="B2211" i="1"/>
  <c r="C2210" i="1"/>
  <c r="B2210" i="1"/>
  <c r="C2209" i="1"/>
  <c r="B2209" i="1"/>
  <c r="C2208" i="1"/>
  <c r="B2208" i="1"/>
  <c r="C2207" i="1"/>
  <c r="B2207" i="1"/>
  <c r="C2206" i="1"/>
  <c r="B2206" i="1"/>
  <c r="C2205" i="1"/>
  <c r="B2205" i="1"/>
  <c r="C2204" i="1"/>
  <c r="B2204" i="1"/>
  <c r="C2203" i="1"/>
  <c r="B2203" i="1"/>
  <c r="C2202" i="1"/>
  <c r="B2202" i="1"/>
  <c r="C2201" i="1"/>
  <c r="B2201" i="1"/>
  <c r="C2200" i="1"/>
  <c r="B2200" i="1"/>
  <c r="C2199" i="1"/>
  <c r="B2199" i="1"/>
  <c r="C2198" i="1"/>
  <c r="B2198" i="1"/>
  <c r="C2197" i="1"/>
  <c r="B2197" i="1"/>
  <c r="C2196" i="1"/>
  <c r="B2196" i="1"/>
  <c r="C2195" i="1"/>
  <c r="B2195" i="1"/>
  <c r="C2194" i="1"/>
  <c r="B2194" i="1"/>
  <c r="C2193" i="1"/>
  <c r="B2193" i="1"/>
  <c r="C2192" i="1"/>
  <c r="B2192" i="1"/>
  <c r="C2191" i="1"/>
  <c r="B2191" i="1"/>
  <c r="C2190" i="1"/>
  <c r="B2190" i="1"/>
  <c r="C2189" i="1"/>
  <c r="B2189" i="1"/>
  <c r="C2188" i="1"/>
  <c r="B2188" i="1"/>
  <c r="C2187" i="1"/>
  <c r="B2187" i="1"/>
  <c r="C2186" i="1"/>
  <c r="B2186" i="1"/>
  <c r="C2185" i="1"/>
  <c r="B2185" i="1"/>
  <c r="C2184" i="1"/>
  <c r="B2184" i="1"/>
  <c r="C2183" i="1"/>
  <c r="B2183" i="1"/>
  <c r="C2182" i="1"/>
  <c r="B2182" i="1"/>
  <c r="C2181" i="1"/>
  <c r="B2181" i="1"/>
  <c r="C2180" i="1"/>
  <c r="B2180" i="1"/>
  <c r="C2179" i="1"/>
  <c r="B2179" i="1"/>
  <c r="C2178" i="1"/>
  <c r="B2178" i="1"/>
  <c r="C2177" i="1"/>
  <c r="B2177" i="1"/>
  <c r="C2176" i="1"/>
  <c r="B2176" i="1"/>
  <c r="C2175" i="1"/>
  <c r="B2175" i="1"/>
  <c r="C2174" i="1"/>
  <c r="B2174" i="1"/>
  <c r="C2173" i="1"/>
  <c r="B2173" i="1"/>
  <c r="C2172" i="1"/>
  <c r="B2172" i="1"/>
  <c r="C2171" i="1"/>
  <c r="B2171" i="1"/>
  <c r="C2170" i="1"/>
  <c r="B2170" i="1"/>
  <c r="C2169" i="1"/>
  <c r="B2169" i="1"/>
  <c r="C2168" i="1"/>
  <c r="B2168" i="1"/>
  <c r="C2167" i="1"/>
  <c r="B2167" i="1"/>
  <c r="C2166" i="1"/>
  <c r="B2166" i="1"/>
  <c r="C2165" i="1"/>
  <c r="B2165" i="1"/>
  <c r="C2164" i="1"/>
  <c r="B2164" i="1"/>
  <c r="C2163" i="1"/>
  <c r="B2163" i="1"/>
  <c r="C2162" i="1"/>
  <c r="B2162" i="1"/>
  <c r="C2161" i="1"/>
  <c r="B2161" i="1"/>
  <c r="C2160" i="1"/>
  <c r="B2160" i="1"/>
  <c r="C2159" i="1"/>
  <c r="B2159" i="1"/>
  <c r="C2158" i="1"/>
  <c r="B2158" i="1"/>
  <c r="C2157" i="1"/>
  <c r="B2157" i="1"/>
  <c r="C2156" i="1"/>
  <c r="B2156" i="1"/>
  <c r="C2155" i="1"/>
  <c r="B2155" i="1"/>
  <c r="C2154" i="1"/>
  <c r="B2154" i="1"/>
  <c r="C2153" i="1"/>
  <c r="B2153" i="1"/>
  <c r="C2152" i="1"/>
  <c r="B2152" i="1"/>
  <c r="C2151" i="1"/>
  <c r="B2151" i="1"/>
  <c r="C2150" i="1"/>
  <c r="B2150" i="1"/>
  <c r="C2149" i="1"/>
  <c r="B2149" i="1"/>
  <c r="C2148" i="1"/>
  <c r="B2148" i="1"/>
  <c r="C2147" i="1"/>
  <c r="B2147" i="1"/>
  <c r="C2146" i="1"/>
  <c r="B2146" i="1"/>
  <c r="C2145" i="1"/>
  <c r="B2145" i="1"/>
  <c r="C2144" i="1"/>
  <c r="B2144" i="1"/>
  <c r="C2143" i="1"/>
  <c r="B2143" i="1"/>
  <c r="C2142" i="1"/>
  <c r="B2142" i="1"/>
  <c r="C2141" i="1"/>
  <c r="B2141" i="1"/>
  <c r="C2140" i="1"/>
  <c r="B2140" i="1"/>
  <c r="C2139" i="1"/>
  <c r="B2139" i="1"/>
  <c r="C2138" i="1"/>
  <c r="B2138" i="1"/>
  <c r="C2137" i="1"/>
  <c r="B2137" i="1"/>
  <c r="C2136" i="1"/>
  <c r="B2136" i="1"/>
  <c r="C2135" i="1"/>
  <c r="B2135" i="1"/>
  <c r="C2134" i="1"/>
  <c r="B2134" i="1"/>
  <c r="C2133" i="1"/>
  <c r="B2133" i="1"/>
  <c r="C2132" i="1"/>
  <c r="B2132" i="1"/>
  <c r="C2131" i="1"/>
  <c r="B2131" i="1"/>
  <c r="C2130" i="1"/>
  <c r="B2130" i="1"/>
  <c r="C2129" i="1"/>
  <c r="B2129" i="1"/>
  <c r="C2128" i="1"/>
  <c r="B2128" i="1"/>
  <c r="C2127" i="1"/>
  <c r="B2127" i="1"/>
  <c r="C2126" i="1"/>
  <c r="B2126" i="1"/>
  <c r="C2125" i="1"/>
  <c r="B2125" i="1"/>
  <c r="C2124" i="1"/>
  <c r="B2124" i="1"/>
  <c r="C2123" i="1"/>
  <c r="B2123" i="1"/>
  <c r="C2122" i="1"/>
  <c r="B2122" i="1"/>
  <c r="C2121" i="1"/>
  <c r="B2121" i="1"/>
  <c r="C2120" i="1"/>
  <c r="B2120" i="1"/>
  <c r="C2119" i="1"/>
  <c r="B2119" i="1"/>
  <c r="C2118" i="1"/>
  <c r="B2118" i="1"/>
  <c r="C2117" i="1"/>
  <c r="B2117" i="1"/>
  <c r="C2116" i="1"/>
  <c r="B2116" i="1"/>
  <c r="C2115" i="1"/>
  <c r="B2115" i="1"/>
  <c r="C2114" i="1"/>
  <c r="B2114" i="1"/>
  <c r="C2113" i="1"/>
  <c r="B2113" i="1"/>
  <c r="C2112" i="1"/>
  <c r="B2112" i="1"/>
  <c r="C2111" i="1"/>
  <c r="B2111" i="1"/>
  <c r="C2110" i="1"/>
  <c r="B2110" i="1"/>
  <c r="C2109" i="1"/>
  <c r="B2109" i="1"/>
  <c r="C2108" i="1"/>
  <c r="B2108" i="1"/>
  <c r="C2107" i="1"/>
  <c r="B2107" i="1"/>
  <c r="C2106" i="1"/>
  <c r="B2106" i="1"/>
  <c r="C2105" i="1"/>
  <c r="B2105" i="1"/>
  <c r="C2104" i="1"/>
  <c r="B2104" i="1"/>
  <c r="C2103" i="1"/>
  <c r="B2103" i="1"/>
  <c r="C2102" i="1"/>
  <c r="B2102" i="1"/>
  <c r="C2101" i="1"/>
  <c r="B2101" i="1"/>
  <c r="C2100" i="1"/>
  <c r="B2100" i="1"/>
  <c r="C2099" i="1"/>
  <c r="B2099" i="1"/>
  <c r="C2098" i="1"/>
  <c r="B2098" i="1"/>
  <c r="C2097" i="1"/>
  <c r="B2097" i="1"/>
  <c r="C2096" i="1"/>
  <c r="B2096" i="1"/>
  <c r="C2095" i="1"/>
  <c r="B2095" i="1"/>
  <c r="C2094" i="1"/>
  <c r="B2094" i="1"/>
  <c r="C2093" i="1"/>
  <c r="B2093" i="1"/>
  <c r="C2092" i="1"/>
  <c r="B2092" i="1"/>
  <c r="C2091" i="1"/>
  <c r="B2091" i="1"/>
  <c r="C2090" i="1"/>
  <c r="B2090" i="1"/>
  <c r="C2089" i="1"/>
  <c r="B2089" i="1"/>
  <c r="C2088" i="1"/>
  <c r="B2088" i="1"/>
  <c r="C2087" i="1"/>
  <c r="B2087" i="1"/>
  <c r="C2086" i="1"/>
  <c r="B2086" i="1"/>
  <c r="C2085" i="1"/>
  <c r="B2085" i="1"/>
  <c r="C2084" i="1"/>
  <c r="B2084" i="1"/>
  <c r="C2083" i="1"/>
  <c r="B2083" i="1"/>
  <c r="C2082" i="1"/>
  <c r="B2082" i="1"/>
  <c r="C2081" i="1"/>
  <c r="B2081" i="1"/>
  <c r="C2080" i="1"/>
  <c r="B2080" i="1"/>
  <c r="C2079" i="1"/>
  <c r="B2079" i="1"/>
  <c r="C2078" i="1"/>
  <c r="B2078" i="1"/>
  <c r="C2077" i="1"/>
  <c r="B2077" i="1"/>
  <c r="C2076" i="1"/>
  <c r="B2076" i="1"/>
  <c r="C2075" i="1"/>
  <c r="B2075" i="1"/>
  <c r="C2074" i="1"/>
  <c r="B2074" i="1"/>
  <c r="C2073" i="1"/>
  <c r="B2073" i="1"/>
  <c r="C2072" i="1"/>
  <c r="B2072" i="1"/>
  <c r="C2071" i="1"/>
  <c r="B2071" i="1"/>
  <c r="C2070" i="1"/>
  <c r="B2070" i="1"/>
  <c r="C2069" i="1"/>
  <c r="B2069" i="1"/>
  <c r="C2068" i="1"/>
  <c r="B2068" i="1"/>
  <c r="C2067" i="1"/>
  <c r="B2067" i="1"/>
  <c r="C2066" i="1"/>
  <c r="B2066" i="1"/>
  <c r="C2065" i="1"/>
  <c r="B2065" i="1"/>
  <c r="C2064" i="1"/>
  <c r="B2064" i="1"/>
  <c r="C2063" i="1"/>
  <c r="B2063" i="1"/>
  <c r="C2062" i="1"/>
  <c r="B2062" i="1"/>
  <c r="C2061" i="1"/>
  <c r="B2061" i="1"/>
  <c r="C2060" i="1"/>
  <c r="B2060" i="1"/>
  <c r="C2059" i="1"/>
  <c r="B2059" i="1"/>
  <c r="C2058" i="1"/>
  <c r="B2058" i="1"/>
  <c r="C2057" i="1"/>
  <c r="B2057" i="1"/>
  <c r="C2056" i="1"/>
  <c r="B2056" i="1"/>
  <c r="C2055" i="1"/>
  <c r="B2055" i="1"/>
  <c r="C2054" i="1"/>
  <c r="B2054" i="1"/>
  <c r="C2053" i="1"/>
  <c r="B2053" i="1"/>
  <c r="C2052" i="1"/>
  <c r="B2052" i="1"/>
  <c r="C2051" i="1"/>
  <c r="B2051" i="1"/>
  <c r="C2050" i="1"/>
  <c r="B2050" i="1"/>
  <c r="C2049" i="1"/>
  <c r="B2049" i="1"/>
  <c r="C2048" i="1"/>
  <c r="B2048" i="1"/>
  <c r="C2047" i="1"/>
  <c r="B2047" i="1"/>
  <c r="C2046" i="1"/>
  <c r="B2046" i="1"/>
  <c r="C2045" i="1"/>
  <c r="B2045" i="1"/>
  <c r="C2044" i="1"/>
  <c r="B2044" i="1"/>
  <c r="C2043" i="1"/>
  <c r="B2043" i="1"/>
  <c r="C2042" i="1"/>
  <c r="B2042" i="1"/>
  <c r="C2041" i="1"/>
  <c r="B2041" i="1"/>
  <c r="C2040" i="1"/>
  <c r="B2040" i="1"/>
  <c r="C2039" i="1"/>
  <c r="B2039" i="1"/>
  <c r="C2038" i="1"/>
  <c r="B2038" i="1"/>
  <c r="C2037" i="1"/>
  <c r="B2037" i="1"/>
  <c r="C2036" i="1"/>
  <c r="B2036" i="1"/>
  <c r="C2035" i="1"/>
  <c r="B2035" i="1"/>
  <c r="C2034" i="1"/>
  <c r="B2034" i="1"/>
  <c r="C2033" i="1"/>
  <c r="B2033" i="1"/>
  <c r="C2032" i="1"/>
  <c r="B2032" i="1"/>
  <c r="C2031" i="1"/>
  <c r="B2031" i="1"/>
  <c r="C2030" i="1"/>
  <c r="B2030" i="1"/>
  <c r="C2029" i="1"/>
  <c r="B2029" i="1"/>
  <c r="C2028" i="1"/>
  <c r="B2028" i="1"/>
  <c r="C2027" i="1"/>
  <c r="B2027" i="1"/>
  <c r="C2026" i="1"/>
  <c r="B2026" i="1"/>
  <c r="C2025" i="1"/>
  <c r="B2025" i="1"/>
  <c r="C2024" i="1"/>
  <c r="B2024" i="1"/>
  <c r="C2023" i="1"/>
  <c r="B2023" i="1"/>
  <c r="C2022" i="1"/>
  <c r="B2022" i="1"/>
  <c r="C2021" i="1"/>
  <c r="B2021" i="1"/>
  <c r="C2020" i="1"/>
  <c r="B2020" i="1"/>
  <c r="C2019" i="1"/>
  <c r="B2019" i="1"/>
  <c r="C2018" i="1"/>
  <c r="B2018" i="1"/>
  <c r="C2017" i="1"/>
  <c r="B2017" i="1"/>
  <c r="C2016" i="1"/>
  <c r="B2016" i="1"/>
  <c r="C2015" i="1"/>
  <c r="B2015" i="1"/>
  <c r="C2014" i="1"/>
  <c r="B2014" i="1"/>
  <c r="C2013" i="1"/>
  <c r="B2013" i="1"/>
  <c r="C2012" i="1"/>
  <c r="B2012" i="1"/>
  <c r="C2011" i="1"/>
  <c r="B2011" i="1"/>
  <c r="C2010" i="1"/>
  <c r="B2010" i="1"/>
  <c r="C2009" i="1"/>
  <c r="B2009" i="1"/>
  <c r="C2008" i="1"/>
  <c r="B2008" i="1"/>
  <c r="C2007" i="1"/>
  <c r="B2007" i="1"/>
  <c r="C2006" i="1"/>
  <c r="B2006" i="1"/>
  <c r="C2005" i="1"/>
  <c r="B2005" i="1"/>
  <c r="C2004" i="1"/>
  <c r="B2004" i="1"/>
  <c r="C2003" i="1"/>
  <c r="B2003" i="1"/>
  <c r="C2002" i="1"/>
  <c r="B2002" i="1"/>
  <c r="C2001" i="1"/>
  <c r="B2001" i="1"/>
  <c r="C2000" i="1"/>
  <c r="B2000" i="1"/>
  <c r="C1999" i="1"/>
  <c r="B1999" i="1"/>
  <c r="C1998" i="1"/>
  <c r="B1998" i="1"/>
  <c r="C1997" i="1"/>
  <c r="B1997" i="1"/>
  <c r="C1996" i="1"/>
  <c r="B1996" i="1"/>
  <c r="C1995" i="1"/>
  <c r="B1995" i="1"/>
  <c r="C1994" i="1"/>
  <c r="B1994" i="1"/>
  <c r="C1993" i="1"/>
  <c r="B1993" i="1"/>
  <c r="C1992" i="1"/>
  <c r="B1992" i="1"/>
  <c r="C1991" i="1"/>
  <c r="B1991" i="1"/>
  <c r="C1990" i="1"/>
  <c r="B1990" i="1"/>
  <c r="C1989" i="1"/>
  <c r="B1989" i="1"/>
  <c r="C1988" i="1"/>
  <c r="B1988" i="1"/>
  <c r="C1987" i="1"/>
  <c r="B1987" i="1"/>
  <c r="C1986" i="1"/>
  <c r="B1986" i="1"/>
  <c r="C1985" i="1"/>
  <c r="B1985" i="1"/>
  <c r="C1984" i="1"/>
  <c r="B1984" i="1"/>
  <c r="C1983" i="1"/>
  <c r="B1983" i="1"/>
  <c r="C1982" i="1"/>
  <c r="B1982" i="1"/>
  <c r="C1981" i="1"/>
  <c r="B1981" i="1"/>
  <c r="C1980" i="1"/>
  <c r="B1980" i="1"/>
  <c r="C1979" i="1"/>
  <c r="B1979" i="1"/>
  <c r="C1978" i="1"/>
  <c r="B1978" i="1"/>
  <c r="C1977" i="1"/>
  <c r="B1977" i="1"/>
  <c r="C1976" i="1"/>
  <c r="B1976" i="1"/>
  <c r="C1975" i="1"/>
  <c r="B1975" i="1"/>
  <c r="C1974" i="1"/>
  <c r="B1974" i="1"/>
  <c r="C1973" i="1"/>
  <c r="B1973" i="1"/>
  <c r="C1972" i="1"/>
  <c r="B1972" i="1"/>
  <c r="C1971" i="1"/>
  <c r="B1971" i="1"/>
  <c r="C1970" i="1"/>
  <c r="B1970" i="1"/>
  <c r="C1969" i="1"/>
  <c r="B1969" i="1"/>
  <c r="C1968" i="1"/>
  <c r="B1968" i="1"/>
  <c r="C1967" i="1"/>
  <c r="B1967" i="1"/>
  <c r="C1966" i="1"/>
  <c r="B1966" i="1"/>
  <c r="C1965" i="1"/>
  <c r="B1965" i="1"/>
  <c r="C1964" i="1"/>
  <c r="B1964" i="1"/>
  <c r="C1963" i="1"/>
  <c r="B1963" i="1"/>
  <c r="C1962" i="1"/>
  <c r="B1962" i="1"/>
  <c r="C1961" i="1"/>
  <c r="B1961" i="1"/>
  <c r="C1960" i="1"/>
  <c r="B1960" i="1"/>
  <c r="C1959" i="1"/>
  <c r="B1959" i="1"/>
  <c r="C1958" i="1"/>
  <c r="B1958" i="1"/>
  <c r="C1957" i="1"/>
  <c r="B1957" i="1"/>
  <c r="C1956" i="1"/>
  <c r="B1956" i="1"/>
  <c r="C1955" i="1"/>
  <c r="B1955" i="1"/>
  <c r="C1954" i="1"/>
  <c r="B1954" i="1"/>
  <c r="C1953" i="1"/>
  <c r="B1953" i="1"/>
  <c r="C1952" i="1"/>
  <c r="B1952" i="1"/>
  <c r="C1951" i="1"/>
  <c r="B1951" i="1"/>
  <c r="C1950" i="1"/>
  <c r="B1950" i="1"/>
  <c r="C1949" i="1"/>
  <c r="B1949" i="1"/>
  <c r="C1948" i="1"/>
  <c r="B1948" i="1"/>
  <c r="C1947" i="1"/>
  <c r="B1947" i="1"/>
  <c r="C1946" i="1"/>
  <c r="B1946" i="1"/>
  <c r="C1945" i="1"/>
  <c r="B1945" i="1"/>
  <c r="C1944" i="1"/>
  <c r="B1944" i="1"/>
  <c r="C1943" i="1"/>
  <c r="B1943" i="1"/>
  <c r="C1942" i="1"/>
  <c r="B1942" i="1"/>
  <c r="C1941" i="1"/>
  <c r="B1941" i="1"/>
  <c r="C1940" i="1"/>
  <c r="B1940" i="1"/>
  <c r="C1939" i="1"/>
  <c r="B1939" i="1"/>
  <c r="C1938" i="1"/>
  <c r="B1938" i="1"/>
  <c r="C1937" i="1"/>
  <c r="B1937" i="1"/>
  <c r="C1936" i="1"/>
  <c r="B1936" i="1"/>
  <c r="C1935" i="1"/>
  <c r="B1935" i="1"/>
  <c r="C1934" i="1"/>
  <c r="B1934" i="1"/>
  <c r="C1933" i="1"/>
  <c r="B1933" i="1"/>
  <c r="C1932" i="1"/>
  <c r="B1932" i="1"/>
  <c r="C1931" i="1"/>
  <c r="B1931" i="1"/>
  <c r="C1930" i="1"/>
  <c r="B1930" i="1"/>
  <c r="C1929" i="1"/>
  <c r="B1929" i="1"/>
  <c r="C1928" i="1"/>
  <c r="B1928" i="1"/>
  <c r="C1927" i="1"/>
  <c r="B1927" i="1"/>
  <c r="C1926" i="1"/>
  <c r="B1926" i="1"/>
  <c r="C1925" i="1"/>
  <c r="B1925" i="1"/>
  <c r="C1924" i="1"/>
  <c r="B1924" i="1"/>
  <c r="C1923" i="1"/>
  <c r="B1923" i="1"/>
  <c r="C1922" i="1"/>
  <c r="B1922" i="1"/>
  <c r="C1921" i="1"/>
  <c r="B1921" i="1"/>
  <c r="C1920" i="1"/>
  <c r="B1920" i="1"/>
  <c r="C1919" i="1"/>
  <c r="B1919" i="1"/>
  <c r="C1918" i="1"/>
  <c r="B1918" i="1"/>
  <c r="C1917" i="1"/>
  <c r="B1917" i="1"/>
  <c r="C1916" i="1"/>
  <c r="B1916" i="1"/>
  <c r="C1915" i="1"/>
  <c r="B1915" i="1"/>
  <c r="C1914" i="1"/>
  <c r="B1914" i="1"/>
  <c r="C1913" i="1"/>
  <c r="B1913" i="1"/>
  <c r="C1912" i="1"/>
  <c r="B1912" i="1"/>
  <c r="C1911" i="1"/>
  <c r="B1911" i="1"/>
  <c r="C1910" i="1"/>
  <c r="B1910" i="1"/>
  <c r="C1909" i="1"/>
  <c r="B1909" i="1"/>
  <c r="C1908" i="1"/>
  <c r="B1908" i="1"/>
  <c r="C1907" i="1"/>
  <c r="B1907" i="1"/>
  <c r="C1906" i="1"/>
  <c r="B1906" i="1"/>
  <c r="C1905" i="1"/>
  <c r="B1905" i="1"/>
  <c r="C1904" i="1"/>
  <c r="B1904" i="1"/>
  <c r="C1903" i="1"/>
  <c r="B1903" i="1"/>
  <c r="C1902" i="1"/>
  <c r="B1902" i="1"/>
  <c r="C1901" i="1"/>
  <c r="B1901" i="1"/>
  <c r="C1900" i="1"/>
  <c r="B1900" i="1"/>
  <c r="C1899" i="1"/>
  <c r="B1899" i="1"/>
  <c r="C1898" i="1"/>
  <c r="B1898" i="1"/>
  <c r="C1897" i="1"/>
  <c r="B1897" i="1"/>
  <c r="C1896" i="1"/>
  <c r="B1896" i="1"/>
  <c r="C1895" i="1"/>
  <c r="B1895" i="1"/>
  <c r="C1894" i="1"/>
  <c r="B1894" i="1"/>
  <c r="C1893" i="1"/>
  <c r="B1893" i="1"/>
  <c r="C1892" i="1"/>
  <c r="B1892" i="1"/>
  <c r="C1891" i="1"/>
  <c r="B1891" i="1"/>
  <c r="C1890" i="1"/>
  <c r="B1890" i="1"/>
  <c r="C1889" i="1"/>
  <c r="B1889" i="1"/>
  <c r="C1888" i="1"/>
  <c r="B1888" i="1"/>
  <c r="C1887" i="1"/>
  <c r="B1887" i="1"/>
  <c r="C1886" i="1"/>
  <c r="B1886" i="1"/>
  <c r="C1885" i="1"/>
  <c r="B1885" i="1"/>
  <c r="C1884" i="1"/>
  <c r="B1884" i="1"/>
  <c r="C1883" i="1"/>
  <c r="B1883" i="1"/>
  <c r="C1882" i="1"/>
  <c r="B1882" i="1"/>
  <c r="C1881" i="1"/>
  <c r="B1881" i="1"/>
  <c r="C1880" i="1"/>
  <c r="B1880" i="1"/>
  <c r="C1879" i="1"/>
  <c r="B1879" i="1"/>
  <c r="C1878" i="1"/>
  <c r="B1878" i="1"/>
  <c r="C1877" i="1"/>
  <c r="B1877" i="1"/>
  <c r="C1876" i="1"/>
  <c r="B1876" i="1"/>
  <c r="C1875" i="1"/>
  <c r="B1875" i="1"/>
  <c r="C1874" i="1"/>
  <c r="B1874" i="1"/>
  <c r="C1873" i="1"/>
  <c r="B1873" i="1"/>
  <c r="C1872" i="1"/>
  <c r="B1872" i="1"/>
  <c r="C1871" i="1"/>
  <c r="B1871" i="1"/>
  <c r="C1870" i="1"/>
  <c r="B1870" i="1"/>
  <c r="C1869" i="1"/>
  <c r="B1869" i="1"/>
  <c r="C1868" i="1"/>
  <c r="B1868" i="1"/>
  <c r="C1867" i="1"/>
  <c r="B1867" i="1"/>
  <c r="C1866" i="1"/>
  <c r="B1866" i="1"/>
  <c r="C1865" i="1"/>
  <c r="B1865" i="1"/>
  <c r="C1864" i="1"/>
  <c r="B1864" i="1"/>
  <c r="C1863" i="1"/>
  <c r="B1863" i="1"/>
  <c r="C1862" i="1"/>
  <c r="B1862" i="1"/>
  <c r="C1861" i="1"/>
  <c r="B1861" i="1"/>
  <c r="C1860" i="1"/>
  <c r="B1860" i="1"/>
  <c r="C1859" i="1"/>
  <c r="B1859" i="1"/>
  <c r="C1858" i="1"/>
  <c r="B1858" i="1"/>
  <c r="C1857" i="1"/>
  <c r="B1857" i="1"/>
  <c r="C1856" i="1"/>
  <c r="B1856" i="1"/>
  <c r="C1855" i="1"/>
  <c r="B1855" i="1"/>
  <c r="C1854" i="1"/>
  <c r="B1854" i="1"/>
  <c r="C1853" i="1"/>
  <c r="B1853" i="1"/>
  <c r="C1852" i="1"/>
  <c r="B1852" i="1"/>
  <c r="C1851" i="1"/>
  <c r="B1851" i="1"/>
  <c r="C1850" i="1"/>
  <c r="B1850" i="1"/>
  <c r="C1849" i="1"/>
  <c r="B1849" i="1"/>
  <c r="C1848" i="1"/>
  <c r="B1848" i="1"/>
  <c r="C1847" i="1"/>
  <c r="B1847" i="1"/>
  <c r="C1846" i="1"/>
  <c r="B1846" i="1"/>
  <c r="C1845" i="1"/>
  <c r="B1845" i="1"/>
  <c r="C1844" i="1"/>
  <c r="B1844" i="1"/>
  <c r="C1843" i="1"/>
  <c r="B1843" i="1"/>
  <c r="C1842" i="1"/>
  <c r="B1842" i="1"/>
  <c r="C1841" i="1"/>
  <c r="B1841" i="1"/>
  <c r="C1840" i="1"/>
  <c r="B1840" i="1"/>
  <c r="C1839" i="1"/>
  <c r="B1839" i="1"/>
  <c r="C1838" i="1"/>
  <c r="B1838" i="1"/>
  <c r="C1837" i="1"/>
  <c r="B1837" i="1"/>
  <c r="C1836" i="1"/>
  <c r="B1836" i="1"/>
  <c r="C1835" i="1"/>
  <c r="B1835" i="1"/>
  <c r="C1834" i="1"/>
  <c r="B1834" i="1"/>
  <c r="C1833" i="1"/>
  <c r="B1833" i="1"/>
  <c r="C1832" i="1"/>
  <c r="B1832" i="1"/>
  <c r="C1831" i="1"/>
  <c r="B1831" i="1"/>
  <c r="C1830" i="1"/>
  <c r="B1830" i="1"/>
  <c r="C1829" i="1"/>
  <c r="B1829" i="1"/>
  <c r="C1828" i="1"/>
  <c r="B1828" i="1"/>
  <c r="C1827" i="1"/>
  <c r="B1827" i="1"/>
  <c r="C1826" i="1"/>
  <c r="B1826" i="1"/>
  <c r="C1825" i="1"/>
  <c r="B1825" i="1"/>
  <c r="C1824" i="1"/>
  <c r="B1824" i="1"/>
  <c r="C1823" i="1"/>
  <c r="B1823" i="1"/>
  <c r="C1822" i="1"/>
  <c r="B1822" i="1"/>
  <c r="C1821" i="1"/>
  <c r="B1821" i="1"/>
  <c r="C1820" i="1"/>
  <c r="B1820" i="1"/>
  <c r="C1819" i="1"/>
  <c r="B1819" i="1"/>
  <c r="C1818" i="1"/>
  <c r="B1818" i="1"/>
  <c r="C1817" i="1"/>
  <c r="B1817" i="1"/>
  <c r="C1816" i="1"/>
  <c r="B1816" i="1"/>
  <c r="C1815" i="1"/>
  <c r="B1815" i="1"/>
  <c r="C1814" i="1"/>
  <c r="B1814" i="1"/>
  <c r="C1813" i="1"/>
  <c r="B1813" i="1"/>
  <c r="C1812" i="1"/>
  <c r="B1812" i="1"/>
  <c r="C1811" i="1"/>
  <c r="B1811" i="1"/>
  <c r="C1810" i="1"/>
  <c r="B1810" i="1"/>
  <c r="C1809" i="1"/>
  <c r="B1809" i="1"/>
  <c r="C1808" i="1"/>
  <c r="B1808" i="1"/>
  <c r="C1807" i="1"/>
  <c r="B1807" i="1"/>
  <c r="C1806" i="1"/>
  <c r="B1806" i="1"/>
  <c r="C1805" i="1"/>
  <c r="B1805" i="1"/>
  <c r="C1804" i="1"/>
  <c r="B1804" i="1"/>
  <c r="C1803" i="1"/>
  <c r="B1803" i="1"/>
  <c r="C1802" i="1"/>
  <c r="B1802" i="1"/>
  <c r="C1801" i="1"/>
  <c r="B1801" i="1"/>
  <c r="C1800" i="1"/>
  <c r="B1800" i="1"/>
  <c r="C1799" i="1"/>
  <c r="B1799" i="1"/>
  <c r="C1798" i="1"/>
  <c r="B1798" i="1"/>
  <c r="C1797" i="1"/>
  <c r="B1797" i="1"/>
  <c r="C1796" i="1"/>
  <c r="B1796" i="1"/>
  <c r="C1795" i="1"/>
  <c r="B1795" i="1"/>
  <c r="C1794" i="1"/>
  <c r="B1794" i="1"/>
  <c r="C1793" i="1"/>
  <c r="B1793" i="1"/>
  <c r="C1792" i="1"/>
  <c r="B1792" i="1"/>
  <c r="C1791" i="1"/>
  <c r="B1791" i="1"/>
  <c r="C1790" i="1"/>
  <c r="B1790" i="1"/>
  <c r="C1789" i="1"/>
  <c r="B1789" i="1"/>
  <c r="C1788" i="1"/>
  <c r="B1788" i="1"/>
  <c r="C1787" i="1"/>
  <c r="B1787" i="1"/>
  <c r="C1786" i="1"/>
  <c r="B1786" i="1"/>
  <c r="C1785" i="1"/>
  <c r="B1785" i="1"/>
  <c r="C1784" i="1"/>
  <c r="B1784" i="1"/>
  <c r="C1783" i="1"/>
  <c r="B1783" i="1"/>
  <c r="C1782" i="1"/>
  <c r="B1782" i="1"/>
  <c r="C1781" i="1"/>
  <c r="B1781" i="1"/>
  <c r="C1780" i="1"/>
  <c r="B1780" i="1"/>
  <c r="C1779" i="1"/>
  <c r="B1779" i="1"/>
  <c r="C1778" i="1"/>
  <c r="B1778" i="1"/>
  <c r="C1777" i="1"/>
  <c r="B1777" i="1"/>
  <c r="C1776" i="1"/>
  <c r="B1776" i="1"/>
  <c r="C1775" i="1"/>
  <c r="B1775" i="1"/>
  <c r="C1774" i="1"/>
  <c r="B1774" i="1"/>
  <c r="C1773" i="1"/>
  <c r="B1773" i="1"/>
  <c r="C1772" i="1"/>
  <c r="B1772" i="1"/>
  <c r="C1771" i="1"/>
  <c r="B1771" i="1"/>
  <c r="C1770" i="1"/>
  <c r="B1770" i="1"/>
  <c r="C1769" i="1"/>
  <c r="B1769" i="1"/>
  <c r="C1768" i="1"/>
  <c r="B1768" i="1"/>
  <c r="C1767" i="1"/>
  <c r="B1767" i="1"/>
  <c r="C1766" i="1"/>
  <c r="B1766" i="1"/>
  <c r="C1765" i="1"/>
  <c r="B1765" i="1"/>
  <c r="C1764" i="1"/>
  <c r="B1764" i="1"/>
  <c r="C1763" i="1"/>
  <c r="B1763" i="1"/>
  <c r="C1762" i="1"/>
  <c r="B1762" i="1"/>
  <c r="C1761" i="1"/>
  <c r="B1761" i="1"/>
  <c r="C1760" i="1"/>
  <c r="B1760" i="1"/>
  <c r="C1759" i="1"/>
  <c r="B1759" i="1"/>
  <c r="C1758" i="1"/>
  <c r="B1758" i="1"/>
  <c r="C1757" i="1"/>
  <c r="B1757" i="1"/>
  <c r="C1756" i="1"/>
  <c r="B1756" i="1"/>
  <c r="C1755" i="1"/>
  <c r="B1755" i="1"/>
  <c r="C1754" i="1"/>
  <c r="B1754" i="1"/>
  <c r="C1753" i="1"/>
  <c r="B1753" i="1"/>
  <c r="C1752" i="1"/>
  <c r="B1752" i="1"/>
  <c r="C1751" i="1"/>
  <c r="B1751" i="1"/>
  <c r="C1750" i="1"/>
  <c r="B1750" i="1"/>
  <c r="C1749" i="1"/>
  <c r="B1749" i="1"/>
  <c r="C1748" i="1"/>
  <c r="B1748" i="1"/>
  <c r="C1747" i="1"/>
  <c r="B1747" i="1"/>
  <c r="C1746" i="1"/>
  <c r="B1746" i="1"/>
  <c r="C1745" i="1"/>
  <c r="B1745" i="1"/>
  <c r="C1744" i="1"/>
  <c r="B1744" i="1"/>
  <c r="C1743" i="1"/>
  <c r="B1743" i="1"/>
  <c r="C1742" i="1"/>
  <c r="B1742" i="1"/>
  <c r="C1741" i="1"/>
  <c r="B1741" i="1"/>
  <c r="C1740" i="1"/>
  <c r="B1740" i="1"/>
  <c r="C1739" i="1"/>
  <c r="B1739" i="1"/>
  <c r="C1738" i="1"/>
  <c r="B1738" i="1"/>
  <c r="C1737" i="1"/>
  <c r="B1737" i="1"/>
  <c r="C1736" i="1"/>
  <c r="B1736" i="1"/>
  <c r="C1735" i="1"/>
  <c r="B1735" i="1"/>
  <c r="C1734" i="1"/>
  <c r="B1734" i="1"/>
  <c r="C1733" i="1"/>
  <c r="B1733" i="1"/>
  <c r="C1732" i="1"/>
  <c r="B1732" i="1"/>
  <c r="C1731" i="1"/>
  <c r="B1731" i="1"/>
  <c r="C1730" i="1"/>
  <c r="B1730" i="1"/>
  <c r="C1729" i="1"/>
  <c r="B1729" i="1"/>
  <c r="C1728" i="1"/>
  <c r="B1728" i="1"/>
  <c r="C1727" i="1"/>
  <c r="B1727" i="1"/>
  <c r="C1726" i="1"/>
  <c r="B1726" i="1"/>
  <c r="C1725" i="1"/>
  <c r="B1725" i="1"/>
  <c r="C1724" i="1"/>
  <c r="B1724" i="1"/>
  <c r="C1723" i="1"/>
  <c r="B1723" i="1"/>
  <c r="C1722" i="1"/>
  <c r="B1722" i="1"/>
  <c r="C1721" i="1"/>
  <c r="B1721" i="1"/>
  <c r="C1720" i="1"/>
  <c r="B1720" i="1"/>
  <c r="C1719" i="1"/>
  <c r="B1719" i="1"/>
  <c r="C1718" i="1"/>
  <c r="B1718" i="1"/>
  <c r="C1717" i="1"/>
  <c r="B1717" i="1"/>
  <c r="C1716" i="1"/>
  <c r="B1716" i="1"/>
  <c r="C1715" i="1"/>
  <c r="B1715" i="1"/>
  <c r="C1714" i="1"/>
  <c r="B1714" i="1"/>
  <c r="C1713" i="1"/>
  <c r="B1713" i="1"/>
  <c r="C1712" i="1"/>
  <c r="B1712" i="1"/>
  <c r="C1711" i="1"/>
  <c r="B1711" i="1"/>
  <c r="C1710" i="1"/>
  <c r="B1710" i="1"/>
  <c r="C1709" i="1"/>
  <c r="B1709" i="1"/>
  <c r="C1708" i="1"/>
  <c r="B1708" i="1"/>
  <c r="C1707" i="1"/>
  <c r="B1707" i="1"/>
  <c r="C1706" i="1"/>
  <c r="B1706" i="1"/>
  <c r="C1705" i="1"/>
  <c r="B1705" i="1"/>
  <c r="C1704" i="1"/>
  <c r="B1704" i="1"/>
  <c r="C1703" i="1"/>
  <c r="B1703" i="1"/>
  <c r="C1702" i="1"/>
  <c r="B1702" i="1"/>
  <c r="C1701" i="1"/>
  <c r="B1701" i="1"/>
  <c r="C1700" i="1"/>
  <c r="B1700" i="1"/>
  <c r="C1699" i="1"/>
  <c r="B1699" i="1"/>
  <c r="C1698" i="1"/>
  <c r="B1698" i="1"/>
  <c r="C1697" i="1"/>
  <c r="B1697" i="1"/>
  <c r="C1696" i="1"/>
  <c r="B1696" i="1"/>
  <c r="C1695" i="1"/>
  <c r="B1695" i="1"/>
  <c r="C1694" i="1"/>
  <c r="B1694" i="1"/>
  <c r="C1693" i="1"/>
  <c r="B1693" i="1"/>
  <c r="C1692" i="1"/>
  <c r="B1692" i="1"/>
  <c r="C1691" i="1"/>
  <c r="B1691" i="1"/>
  <c r="C1690" i="1"/>
  <c r="B1690" i="1"/>
  <c r="C1689" i="1"/>
  <c r="B1689" i="1"/>
  <c r="C1688" i="1"/>
  <c r="B1688" i="1"/>
  <c r="C1687" i="1"/>
  <c r="B1687" i="1"/>
  <c r="C1686" i="1"/>
  <c r="B1686" i="1"/>
  <c r="C1685" i="1"/>
  <c r="B1685" i="1"/>
  <c r="C1684" i="1"/>
  <c r="B1684" i="1"/>
  <c r="C1683" i="1"/>
  <c r="B1683" i="1"/>
  <c r="C1682" i="1"/>
  <c r="B1682" i="1"/>
  <c r="C1681" i="1"/>
  <c r="B1681" i="1"/>
  <c r="C1680" i="1"/>
  <c r="B1680" i="1"/>
  <c r="C1679" i="1"/>
  <c r="B1679" i="1"/>
  <c r="C1678" i="1"/>
  <c r="B1678" i="1"/>
  <c r="C1677" i="1"/>
  <c r="B1677" i="1"/>
  <c r="C1676" i="1"/>
  <c r="B1676" i="1"/>
  <c r="C1675" i="1"/>
  <c r="B1675" i="1"/>
  <c r="C1674" i="1"/>
  <c r="B1674" i="1"/>
  <c r="C1673" i="1"/>
  <c r="B1673" i="1"/>
  <c r="C1672" i="1"/>
  <c r="B1672" i="1"/>
  <c r="C1671" i="1"/>
  <c r="B1671" i="1"/>
  <c r="C1670" i="1"/>
  <c r="B1670" i="1"/>
  <c r="C1669" i="1"/>
  <c r="B1669" i="1"/>
  <c r="C1668" i="1"/>
  <c r="B1668" i="1"/>
  <c r="C1667" i="1"/>
  <c r="B1667" i="1"/>
  <c r="C1666" i="1"/>
  <c r="B1666" i="1"/>
  <c r="C1665" i="1"/>
  <c r="B1665" i="1"/>
  <c r="C1664" i="1"/>
  <c r="B1664" i="1"/>
  <c r="C1663" i="1"/>
  <c r="B1663" i="1"/>
  <c r="C1662" i="1"/>
  <c r="B1662" i="1"/>
  <c r="C1661" i="1"/>
  <c r="B1661" i="1"/>
  <c r="C1660" i="1"/>
  <c r="B1660" i="1"/>
  <c r="C1659" i="1"/>
  <c r="B1659" i="1"/>
  <c r="C1658" i="1"/>
  <c r="B1658" i="1"/>
  <c r="C1657" i="1"/>
  <c r="B1657" i="1"/>
  <c r="C1656" i="1"/>
  <c r="B1656" i="1"/>
  <c r="C1655" i="1"/>
  <c r="B1655" i="1"/>
  <c r="C1654" i="1"/>
  <c r="B1654" i="1"/>
  <c r="C1653" i="1"/>
  <c r="B1653" i="1"/>
  <c r="C1652" i="1"/>
  <c r="B1652" i="1"/>
  <c r="C1651" i="1"/>
  <c r="B1651" i="1"/>
  <c r="C1650" i="1"/>
  <c r="B1650" i="1"/>
  <c r="C1649" i="1"/>
  <c r="B1649" i="1"/>
  <c r="C1648" i="1"/>
  <c r="B1648" i="1"/>
  <c r="C1647" i="1"/>
  <c r="B1647" i="1"/>
  <c r="C1646" i="1"/>
  <c r="B1646" i="1"/>
  <c r="C1645" i="1"/>
  <c r="B1645" i="1"/>
  <c r="C1644" i="1"/>
  <c r="B1644" i="1"/>
  <c r="C1643" i="1"/>
  <c r="B1643" i="1"/>
  <c r="C1642" i="1"/>
  <c r="B1642" i="1"/>
  <c r="C1641" i="1"/>
  <c r="B1641" i="1"/>
  <c r="C1640" i="1"/>
  <c r="B1640" i="1"/>
  <c r="C1639" i="1"/>
  <c r="B1639" i="1"/>
  <c r="C1638" i="1"/>
  <c r="B1638" i="1"/>
  <c r="C1637" i="1"/>
  <c r="B1637" i="1"/>
  <c r="C1636" i="1"/>
  <c r="B1636" i="1"/>
  <c r="C1635" i="1"/>
  <c r="B1635" i="1"/>
  <c r="C1634" i="1"/>
  <c r="B1634" i="1"/>
  <c r="C1633" i="1"/>
  <c r="B1633" i="1"/>
  <c r="C1632" i="1"/>
  <c r="B1632" i="1"/>
  <c r="C1631" i="1"/>
  <c r="B1631" i="1"/>
  <c r="C1630" i="1"/>
  <c r="B1630" i="1"/>
  <c r="C1629" i="1"/>
  <c r="B1629" i="1"/>
  <c r="C1628" i="1"/>
  <c r="B1628" i="1"/>
  <c r="C1627" i="1"/>
  <c r="B1627" i="1"/>
  <c r="C1626" i="1"/>
  <c r="B1626" i="1"/>
  <c r="C1625" i="1"/>
  <c r="B1625" i="1"/>
  <c r="C1624" i="1"/>
  <c r="B1624" i="1"/>
  <c r="C1623" i="1"/>
  <c r="B1623" i="1"/>
  <c r="C1622" i="1"/>
  <c r="B1622" i="1"/>
  <c r="C1621" i="1"/>
  <c r="B1621" i="1"/>
  <c r="C1620" i="1"/>
  <c r="B1620" i="1"/>
  <c r="C1619" i="1"/>
  <c r="B1619" i="1"/>
  <c r="C1618" i="1"/>
  <c r="B1618" i="1"/>
  <c r="C1617" i="1"/>
  <c r="B1617" i="1"/>
  <c r="C1616" i="1"/>
  <c r="B1616" i="1"/>
  <c r="C1615" i="1"/>
  <c r="B1615" i="1"/>
  <c r="C1614" i="1"/>
  <c r="B1614" i="1"/>
  <c r="C1613" i="1"/>
  <c r="B1613" i="1"/>
  <c r="C1612" i="1"/>
  <c r="B1612" i="1"/>
  <c r="C1611" i="1"/>
  <c r="B1611" i="1"/>
  <c r="C1610" i="1"/>
  <c r="B1610" i="1"/>
  <c r="C1609" i="1"/>
  <c r="B1609" i="1"/>
  <c r="C1608" i="1"/>
  <c r="B1608" i="1"/>
  <c r="C1607" i="1"/>
  <c r="B1607" i="1"/>
  <c r="C1606" i="1"/>
  <c r="B1606" i="1"/>
  <c r="C1605" i="1"/>
  <c r="B1605" i="1"/>
  <c r="C1604" i="1"/>
  <c r="B1604" i="1"/>
  <c r="C1603" i="1"/>
  <c r="B1603" i="1"/>
  <c r="C1602" i="1"/>
  <c r="B1602" i="1"/>
  <c r="C1601" i="1"/>
  <c r="B1601" i="1"/>
  <c r="C1600" i="1"/>
  <c r="B1600" i="1"/>
  <c r="C1599" i="1"/>
  <c r="B1599" i="1"/>
  <c r="C1598" i="1"/>
  <c r="B1598" i="1"/>
  <c r="C1597" i="1"/>
  <c r="B1597" i="1"/>
  <c r="C1596" i="1"/>
  <c r="B1596" i="1"/>
  <c r="C1595" i="1"/>
  <c r="B1595" i="1"/>
  <c r="C1594" i="1"/>
  <c r="B1594" i="1"/>
  <c r="C1593" i="1"/>
  <c r="B1593" i="1"/>
  <c r="C1592" i="1"/>
  <c r="B1592" i="1"/>
  <c r="C1591" i="1"/>
  <c r="B1591" i="1"/>
  <c r="C1590" i="1"/>
  <c r="B1590" i="1"/>
  <c r="C1589" i="1"/>
  <c r="B1589" i="1"/>
  <c r="C1588" i="1"/>
  <c r="B1588" i="1"/>
  <c r="C1587" i="1"/>
  <c r="B1587" i="1"/>
  <c r="C1586" i="1"/>
  <c r="B1586" i="1"/>
  <c r="C1585" i="1"/>
  <c r="B1585" i="1"/>
  <c r="C1584" i="1"/>
  <c r="B1584" i="1"/>
  <c r="C1583" i="1"/>
  <c r="B1583" i="1"/>
  <c r="C1582" i="1"/>
  <c r="B1582" i="1"/>
  <c r="C1581" i="1"/>
  <c r="B1581" i="1"/>
  <c r="C1580" i="1"/>
  <c r="B1580" i="1"/>
  <c r="C1579" i="1"/>
  <c r="B1579" i="1"/>
  <c r="C1578" i="1"/>
  <c r="B1578" i="1"/>
  <c r="C1577" i="1"/>
  <c r="B1577" i="1"/>
  <c r="C1576" i="1"/>
  <c r="B1576" i="1"/>
  <c r="C1575" i="1"/>
  <c r="B1575" i="1"/>
  <c r="C1574" i="1"/>
  <c r="B1574" i="1"/>
  <c r="C1573" i="1"/>
  <c r="B1573" i="1"/>
  <c r="C1572" i="1"/>
  <c r="B1572" i="1"/>
  <c r="C1571" i="1"/>
  <c r="B1571" i="1"/>
  <c r="C1570" i="1"/>
  <c r="B1570" i="1"/>
  <c r="C1569" i="1"/>
  <c r="B1569" i="1"/>
  <c r="C1568" i="1"/>
  <c r="B1568" i="1"/>
  <c r="C1567" i="1"/>
  <c r="B1567" i="1"/>
  <c r="C1566" i="1"/>
  <c r="B1566" i="1"/>
  <c r="C1565" i="1"/>
  <c r="B1565" i="1"/>
  <c r="C1564" i="1"/>
  <c r="B1564" i="1"/>
  <c r="C1563" i="1"/>
  <c r="B1563" i="1"/>
  <c r="C1562" i="1"/>
  <c r="B1562" i="1"/>
  <c r="C1561" i="1"/>
  <c r="B1561" i="1"/>
  <c r="C1560" i="1"/>
  <c r="B1560" i="1"/>
  <c r="C1559" i="1"/>
  <c r="B1559" i="1"/>
  <c r="C1558" i="1"/>
  <c r="B1558" i="1"/>
  <c r="C1557" i="1"/>
  <c r="B1557" i="1"/>
  <c r="C1556" i="1"/>
  <c r="B1556" i="1"/>
  <c r="C1555" i="1"/>
  <c r="B1555" i="1"/>
  <c r="C1554" i="1"/>
  <c r="B1554" i="1"/>
  <c r="C1553" i="1"/>
  <c r="B1553" i="1"/>
  <c r="C1552" i="1"/>
  <c r="B1552" i="1"/>
  <c r="C1551" i="1"/>
  <c r="B1551" i="1"/>
  <c r="C1550" i="1"/>
  <c r="B1550" i="1"/>
  <c r="C1549" i="1"/>
  <c r="B1549" i="1"/>
  <c r="C1548" i="1"/>
  <c r="B1548" i="1"/>
  <c r="C1547" i="1"/>
  <c r="B1547" i="1"/>
  <c r="C1546" i="1"/>
  <c r="B1546" i="1"/>
  <c r="C1545" i="1"/>
  <c r="B1545" i="1"/>
  <c r="C1544" i="1"/>
  <c r="B1544" i="1"/>
  <c r="C1543" i="1"/>
  <c r="B1543" i="1"/>
  <c r="C1542" i="1"/>
  <c r="B1542" i="1"/>
  <c r="C1541" i="1"/>
  <c r="B1541" i="1"/>
  <c r="C1540" i="1"/>
  <c r="B1540" i="1"/>
  <c r="C1539" i="1"/>
  <c r="B1539" i="1"/>
  <c r="C1538" i="1"/>
  <c r="B1538" i="1"/>
  <c r="C1537" i="1"/>
  <c r="B1537" i="1"/>
  <c r="C1536" i="1"/>
  <c r="B1536" i="1"/>
  <c r="C1535" i="1"/>
  <c r="B1535" i="1"/>
  <c r="C1534" i="1"/>
  <c r="B1534" i="1"/>
  <c r="C1533" i="1"/>
  <c r="B1533" i="1"/>
  <c r="C1532" i="1"/>
  <c r="B1532" i="1"/>
  <c r="C1531" i="1"/>
  <c r="B1531" i="1"/>
  <c r="C1530" i="1"/>
  <c r="B1530" i="1"/>
  <c r="C1529" i="1"/>
  <c r="B1529" i="1"/>
  <c r="C1528" i="1"/>
  <c r="B1528" i="1"/>
  <c r="C1527" i="1"/>
  <c r="B1527" i="1"/>
  <c r="C1526" i="1"/>
  <c r="B1526" i="1"/>
  <c r="C1525" i="1"/>
  <c r="B1525" i="1"/>
  <c r="C1524" i="1"/>
  <c r="B1524" i="1"/>
  <c r="C1523" i="1"/>
  <c r="B1523" i="1"/>
  <c r="C1522" i="1"/>
  <c r="B1522" i="1"/>
  <c r="C1521" i="1"/>
  <c r="B1521" i="1"/>
  <c r="C1520" i="1"/>
  <c r="B1520" i="1"/>
  <c r="C1519" i="1"/>
  <c r="B1519" i="1"/>
  <c r="C1518" i="1"/>
  <c r="B1518" i="1"/>
  <c r="C1517" i="1"/>
  <c r="B1517" i="1"/>
  <c r="C1516" i="1"/>
  <c r="B1516" i="1"/>
  <c r="C1515" i="1"/>
  <c r="B1515" i="1"/>
  <c r="C1514" i="1"/>
  <c r="B1514" i="1"/>
  <c r="C1513" i="1"/>
  <c r="B1513" i="1"/>
  <c r="C1512" i="1"/>
  <c r="B1512" i="1"/>
  <c r="C1511" i="1"/>
  <c r="B1511" i="1"/>
  <c r="C1510" i="1"/>
  <c r="B1510" i="1"/>
  <c r="C1509" i="1"/>
  <c r="B1509" i="1"/>
  <c r="C1508" i="1"/>
  <c r="B1508" i="1"/>
  <c r="C1507" i="1"/>
  <c r="B1507" i="1"/>
  <c r="C1506" i="1"/>
  <c r="B1506" i="1"/>
  <c r="C1505" i="1"/>
  <c r="B1505" i="1"/>
  <c r="C1504" i="1"/>
  <c r="B1504" i="1"/>
  <c r="C1503" i="1"/>
  <c r="B1503" i="1"/>
  <c r="C1502" i="1"/>
  <c r="B1502" i="1"/>
  <c r="C1501" i="1"/>
  <c r="B1501" i="1"/>
  <c r="C1500" i="1"/>
  <c r="B1500" i="1"/>
  <c r="C1499" i="1"/>
  <c r="B1499" i="1"/>
  <c r="C1498" i="1"/>
  <c r="B1498" i="1"/>
  <c r="C1497" i="1"/>
  <c r="B1497" i="1"/>
  <c r="C1496" i="1"/>
  <c r="B1496" i="1"/>
  <c r="C1495" i="1"/>
  <c r="B1495" i="1"/>
  <c r="C1494" i="1"/>
  <c r="B1494" i="1"/>
  <c r="C1493" i="1"/>
  <c r="B1493" i="1"/>
  <c r="C1492" i="1"/>
  <c r="B1492" i="1"/>
  <c r="C1491" i="1"/>
  <c r="B1491" i="1"/>
  <c r="C1490" i="1"/>
  <c r="B1490" i="1"/>
  <c r="C1489" i="1"/>
  <c r="B1489" i="1"/>
  <c r="C1488" i="1"/>
  <c r="B1488" i="1"/>
  <c r="C1487" i="1"/>
  <c r="B1487" i="1"/>
  <c r="C1486" i="1"/>
  <c r="B1486" i="1"/>
  <c r="C1485" i="1"/>
  <c r="B1485" i="1"/>
  <c r="C1484" i="1"/>
  <c r="B1484" i="1"/>
  <c r="C1483" i="1"/>
  <c r="B1483" i="1"/>
  <c r="C1482" i="1"/>
  <c r="B1482" i="1"/>
  <c r="C1481" i="1"/>
  <c r="B1481" i="1"/>
  <c r="C1480" i="1"/>
  <c r="B1480" i="1"/>
  <c r="C1479" i="1"/>
  <c r="B1479" i="1"/>
  <c r="C1478" i="1"/>
  <c r="B1478" i="1"/>
  <c r="C1477" i="1"/>
  <c r="B1477" i="1"/>
  <c r="C1476" i="1"/>
  <c r="B1476" i="1"/>
  <c r="C1475" i="1"/>
  <c r="B1475" i="1"/>
  <c r="C1474" i="1"/>
  <c r="B1474" i="1"/>
  <c r="C1473" i="1"/>
  <c r="B1473" i="1"/>
  <c r="C1472" i="1"/>
  <c r="B1472" i="1"/>
  <c r="C1471" i="1"/>
  <c r="B1471" i="1"/>
  <c r="C1470" i="1"/>
  <c r="B1470" i="1"/>
  <c r="C1469" i="1"/>
  <c r="B1469" i="1"/>
  <c r="C1468" i="1"/>
  <c r="B1468" i="1"/>
  <c r="C1467" i="1"/>
  <c r="B1467" i="1"/>
  <c r="C1466" i="1"/>
  <c r="B1466" i="1"/>
  <c r="C1465" i="1"/>
  <c r="B1465" i="1"/>
  <c r="C1464" i="1"/>
  <c r="B1464" i="1"/>
  <c r="C1463" i="1"/>
  <c r="B1463" i="1"/>
  <c r="C1462" i="1"/>
  <c r="B1462" i="1"/>
  <c r="C1461" i="1"/>
  <c r="B1461" i="1"/>
  <c r="C1460" i="1"/>
  <c r="B1460" i="1"/>
  <c r="C1459" i="1"/>
  <c r="B1459" i="1"/>
  <c r="C1458" i="1"/>
  <c r="B1458" i="1"/>
  <c r="C1457" i="1"/>
  <c r="B1457" i="1"/>
  <c r="C1456" i="1"/>
  <c r="B1456" i="1"/>
  <c r="C1455" i="1"/>
  <c r="B1455" i="1"/>
  <c r="C1454" i="1"/>
  <c r="B1454" i="1"/>
  <c r="C1453" i="1"/>
  <c r="B1453" i="1"/>
  <c r="C1452" i="1"/>
  <c r="B1452" i="1"/>
  <c r="C1451" i="1"/>
  <c r="B1451" i="1"/>
  <c r="C1450" i="1"/>
  <c r="B1450" i="1"/>
  <c r="C1449" i="1"/>
  <c r="B1449" i="1"/>
  <c r="C1448" i="1"/>
  <c r="B1448" i="1"/>
  <c r="C1447" i="1"/>
  <c r="B1447" i="1"/>
  <c r="C1446" i="1"/>
  <c r="B1446" i="1"/>
  <c r="C1445" i="1"/>
  <c r="B1445" i="1"/>
  <c r="C1444" i="1"/>
  <c r="B1444" i="1"/>
  <c r="C1443" i="1"/>
  <c r="B1443" i="1"/>
  <c r="C1442" i="1"/>
  <c r="B1442" i="1"/>
  <c r="C1441" i="1"/>
  <c r="B1441" i="1"/>
  <c r="C1440" i="1"/>
  <c r="B1440" i="1"/>
  <c r="C1439" i="1"/>
  <c r="B1439" i="1"/>
  <c r="C1438" i="1"/>
  <c r="B1438" i="1"/>
  <c r="C1437" i="1"/>
  <c r="B1437" i="1"/>
  <c r="C1436" i="1"/>
  <c r="B1436" i="1"/>
  <c r="C1435" i="1"/>
  <c r="B1435" i="1"/>
  <c r="C1434" i="1"/>
  <c r="B1434" i="1"/>
  <c r="C1433" i="1"/>
  <c r="B1433" i="1"/>
  <c r="C1432" i="1"/>
  <c r="B1432" i="1"/>
  <c r="C1431" i="1"/>
  <c r="B1431" i="1"/>
  <c r="C1430" i="1"/>
  <c r="B1430" i="1"/>
  <c r="C1429" i="1"/>
  <c r="B1429" i="1"/>
  <c r="C1428" i="1"/>
  <c r="B1428" i="1"/>
  <c r="C1427" i="1"/>
  <c r="B1427" i="1"/>
  <c r="C1426" i="1"/>
  <c r="B1426" i="1"/>
  <c r="C1425" i="1"/>
  <c r="B1425" i="1"/>
  <c r="C1424" i="1"/>
  <c r="B1424" i="1"/>
  <c r="C1423" i="1"/>
  <c r="B1423" i="1"/>
  <c r="C1422" i="1"/>
  <c r="B1422" i="1"/>
  <c r="C1421" i="1"/>
  <c r="B1421" i="1"/>
  <c r="C1420" i="1"/>
  <c r="B1420" i="1"/>
  <c r="C1419" i="1"/>
  <c r="B1419" i="1"/>
  <c r="C1418" i="1"/>
  <c r="B1418" i="1"/>
  <c r="C1417" i="1"/>
  <c r="B1417" i="1"/>
  <c r="C1416" i="1"/>
  <c r="B1416" i="1"/>
  <c r="C1415" i="1"/>
  <c r="B1415" i="1"/>
  <c r="C1414" i="1"/>
  <c r="B1414" i="1"/>
  <c r="C1413" i="1"/>
  <c r="B1413" i="1"/>
  <c r="C1412" i="1"/>
  <c r="B1412" i="1"/>
  <c r="C1411" i="1"/>
  <c r="B1411" i="1"/>
  <c r="C1410" i="1"/>
  <c r="B1410" i="1"/>
  <c r="C1409" i="1"/>
  <c r="B1409" i="1"/>
  <c r="C1408" i="1"/>
  <c r="B1408" i="1"/>
  <c r="C1407" i="1"/>
  <c r="B1407" i="1"/>
  <c r="C1406" i="1"/>
  <c r="B1406" i="1"/>
  <c r="C1405" i="1"/>
  <c r="B1405" i="1"/>
  <c r="C1404" i="1"/>
  <c r="B1404" i="1"/>
  <c r="C1403" i="1"/>
  <c r="B1403" i="1"/>
  <c r="C1402" i="1"/>
  <c r="B1402" i="1"/>
  <c r="C1401" i="1"/>
  <c r="B1401" i="1"/>
  <c r="C1400" i="1"/>
  <c r="B1400" i="1"/>
  <c r="C1399" i="1"/>
  <c r="B1399" i="1"/>
  <c r="C1398" i="1"/>
  <c r="B1398" i="1"/>
  <c r="C1397" i="1"/>
  <c r="B1397" i="1"/>
  <c r="C1396" i="1"/>
  <c r="B1396" i="1"/>
  <c r="C1395" i="1"/>
  <c r="B1395" i="1"/>
  <c r="C1394" i="1"/>
  <c r="B1394" i="1"/>
  <c r="C1393" i="1"/>
  <c r="B1393" i="1"/>
  <c r="C1392" i="1"/>
  <c r="B1392" i="1"/>
  <c r="C1391" i="1"/>
  <c r="B1391" i="1"/>
  <c r="C1390" i="1"/>
  <c r="B1390" i="1"/>
  <c r="C1389" i="1"/>
  <c r="B1389" i="1"/>
  <c r="C1388" i="1"/>
  <c r="B1388" i="1"/>
  <c r="C1387" i="1"/>
  <c r="B1387" i="1"/>
  <c r="C1386" i="1"/>
  <c r="B1386" i="1"/>
  <c r="C1385" i="1"/>
  <c r="B1385" i="1"/>
  <c r="C1384" i="1"/>
  <c r="B1384" i="1"/>
  <c r="C1383" i="1"/>
  <c r="B1383" i="1"/>
  <c r="C1382" i="1"/>
  <c r="B1382" i="1"/>
  <c r="C1381" i="1"/>
  <c r="B1381" i="1"/>
  <c r="C1380" i="1"/>
  <c r="B1380" i="1"/>
  <c r="C1379" i="1"/>
  <c r="B1379" i="1"/>
  <c r="C1378" i="1"/>
  <c r="B1378" i="1"/>
  <c r="C1377" i="1"/>
  <c r="B1377" i="1"/>
  <c r="C1376" i="1"/>
  <c r="B1376" i="1"/>
  <c r="C1375" i="1"/>
  <c r="B1375" i="1"/>
  <c r="C1374" i="1"/>
  <c r="B1374" i="1"/>
  <c r="C1373" i="1"/>
  <c r="B1373" i="1"/>
  <c r="C1372" i="1"/>
  <c r="B1372" i="1"/>
  <c r="C1371" i="1"/>
  <c r="B1371" i="1"/>
  <c r="C1370" i="1"/>
  <c r="B1370" i="1"/>
  <c r="C1369" i="1"/>
  <c r="B1369" i="1"/>
  <c r="C1368" i="1"/>
  <c r="B1368" i="1"/>
  <c r="C1367" i="1"/>
  <c r="B1367" i="1"/>
  <c r="C1366" i="1"/>
  <c r="B1366" i="1"/>
  <c r="C1365" i="1"/>
  <c r="B1365" i="1"/>
  <c r="C1364" i="1"/>
  <c r="B1364" i="1"/>
  <c r="C1363" i="1"/>
  <c r="B1363" i="1"/>
  <c r="C1362" i="1"/>
  <c r="B1362" i="1"/>
  <c r="C1361" i="1"/>
  <c r="B1361" i="1"/>
  <c r="C1360" i="1"/>
  <c r="B1360" i="1"/>
  <c r="C1359" i="1"/>
  <c r="B1359" i="1"/>
  <c r="C1358" i="1"/>
  <c r="B1358" i="1"/>
  <c r="C1357" i="1"/>
  <c r="B1357" i="1"/>
  <c r="C1356" i="1"/>
  <c r="B1356" i="1"/>
  <c r="C1355" i="1"/>
  <c r="B1355" i="1"/>
  <c r="C1354" i="1"/>
  <c r="B1354" i="1"/>
  <c r="C1353" i="1"/>
  <c r="B1353" i="1"/>
  <c r="C1352" i="1"/>
  <c r="B1352" i="1"/>
  <c r="C1351" i="1"/>
  <c r="B1351" i="1"/>
  <c r="C1350" i="1"/>
  <c r="B1350" i="1"/>
  <c r="C1349" i="1"/>
  <c r="B1349" i="1"/>
  <c r="C1348" i="1"/>
  <c r="B1348" i="1"/>
  <c r="C1347" i="1"/>
  <c r="B1347" i="1"/>
  <c r="C1346" i="1"/>
  <c r="B1346" i="1"/>
  <c r="C1345" i="1"/>
  <c r="B1345" i="1"/>
  <c r="C1344" i="1"/>
  <c r="B1344" i="1"/>
  <c r="C1343" i="1"/>
  <c r="B1343" i="1"/>
  <c r="C1342" i="1"/>
  <c r="B1342" i="1"/>
  <c r="C1341" i="1"/>
  <c r="B1341" i="1"/>
  <c r="C1340" i="1"/>
  <c r="B1340" i="1"/>
  <c r="C1339" i="1"/>
  <c r="B1339" i="1"/>
  <c r="C1338" i="1"/>
  <c r="B1338" i="1"/>
  <c r="C1337" i="1"/>
  <c r="B1337" i="1"/>
  <c r="C1336" i="1"/>
  <c r="B1336" i="1"/>
  <c r="C1335" i="1"/>
  <c r="B1335" i="1"/>
  <c r="C1334" i="1"/>
  <c r="B1334" i="1"/>
  <c r="C1333" i="1"/>
  <c r="B1333" i="1"/>
  <c r="C1332" i="1"/>
  <c r="B1332" i="1"/>
  <c r="C1331" i="1"/>
  <c r="B1331" i="1"/>
  <c r="C1330" i="1"/>
  <c r="B1330" i="1"/>
  <c r="C1329" i="1"/>
  <c r="B1329" i="1"/>
  <c r="C1328" i="1"/>
  <c r="B1328" i="1"/>
  <c r="C1327" i="1"/>
  <c r="B1327" i="1"/>
  <c r="C1326" i="1"/>
  <c r="B1326" i="1"/>
  <c r="C1325" i="1"/>
  <c r="B1325" i="1"/>
  <c r="C1324" i="1"/>
  <c r="B1324" i="1"/>
  <c r="C1323" i="1"/>
  <c r="B1323" i="1"/>
  <c r="C1322" i="1"/>
  <c r="B1322" i="1"/>
  <c r="C1321" i="1"/>
  <c r="B1321" i="1"/>
  <c r="C1320" i="1"/>
  <c r="B1320" i="1"/>
  <c r="C1319" i="1"/>
  <c r="B1319" i="1"/>
  <c r="C1318" i="1"/>
  <c r="B1318" i="1"/>
  <c r="C1317" i="1"/>
  <c r="B1317" i="1"/>
  <c r="C1316" i="1"/>
  <c r="B1316" i="1"/>
  <c r="C1315" i="1"/>
  <c r="B1315" i="1"/>
  <c r="C1314" i="1"/>
  <c r="B1314" i="1"/>
  <c r="C1313" i="1"/>
  <c r="B1313" i="1"/>
  <c r="C1312" i="1"/>
  <c r="B1312" i="1"/>
  <c r="C1311" i="1"/>
  <c r="B1311" i="1"/>
  <c r="C1310" i="1"/>
  <c r="B1310" i="1"/>
  <c r="C1309" i="1"/>
  <c r="B1309" i="1"/>
  <c r="C1308" i="1"/>
  <c r="B1308" i="1"/>
  <c r="C1307" i="1"/>
  <c r="B1307" i="1"/>
  <c r="C1306" i="1"/>
  <c r="B1306" i="1"/>
  <c r="C1305" i="1"/>
  <c r="B1305" i="1"/>
  <c r="C1304" i="1"/>
  <c r="B1304" i="1"/>
  <c r="C1303" i="1"/>
  <c r="B1303" i="1"/>
  <c r="C1302" i="1"/>
  <c r="B1302" i="1"/>
  <c r="C1301" i="1"/>
  <c r="B1301" i="1"/>
  <c r="C1300" i="1"/>
  <c r="B1300" i="1"/>
  <c r="C1299" i="1"/>
  <c r="B1299" i="1"/>
  <c r="C1298" i="1"/>
  <c r="B1298" i="1"/>
  <c r="C1297" i="1"/>
  <c r="B1297" i="1"/>
  <c r="C1296" i="1"/>
  <c r="B1296" i="1"/>
  <c r="C1295" i="1"/>
  <c r="B1295" i="1"/>
  <c r="C1294" i="1"/>
  <c r="B1294" i="1"/>
  <c r="C1293" i="1"/>
  <c r="B1293" i="1"/>
  <c r="C1292" i="1"/>
  <c r="B1292" i="1"/>
  <c r="C1291" i="1"/>
  <c r="B1291" i="1"/>
  <c r="C1290" i="1"/>
  <c r="B1290" i="1"/>
  <c r="C1289" i="1"/>
  <c r="B1289" i="1"/>
  <c r="C1288" i="1"/>
  <c r="B1288" i="1"/>
  <c r="C1287" i="1"/>
  <c r="B1287" i="1"/>
  <c r="C1286" i="1"/>
  <c r="B1286" i="1"/>
  <c r="C1285" i="1"/>
  <c r="B1285" i="1"/>
  <c r="C1284" i="1"/>
  <c r="B1284" i="1"/>
  <c r="C1283" i="1"/>
  <c r="B1283" i="1"/>
  <c r="C1282" i="1"/>
  <c r="B1282" i="1"/>
  <c r="C1281" i="1"/>
  <c r="B1281" i="1"/>
  <c r="C1280" i="1"/>
  <c r="B1280" i="1"/>
  <c r="C1279" i="1"/>
  <c r="B1279" i="1"/>
  <c r="C1278" i="1"/>
  <c r="B1278" i="1"/>
  <c r="C1277" i="1"/>
  <c r="B1277" i="1"/>
  <c r="C1276" i="1"/>
  <c r="B1276" i="1"/>
  <c r="C1275" i="1"/>
  <c r="B1275" i="1"/>
  <c r="C1274" i="1"/>
  <c r="B1274" i="1"/>
  <c r="C1273" i="1"/>
  <c r="B1273" i="1"/>
  <c r="C1272" i="1"/>
  <c r="B1272" i="1"/>
  <c r="C1271" i="1"/>
  <c r="B1271" i="1"/>
  <c r="C1270" i="1"/>
  <c r="B1270" i="1"/>
  <c r="C1269" i="1"/>
  <c r="B1269" i="1"/>
  <c r="C1268" i="1"/>
  <c r="B1268" i="1"/>
  <c r="C1267" i="1"/>
  <c r="B1267" i="1"/>
  <c r="C1266" i="1"/>
  <c r="B1266" i="1"/>
  <c r="C1265" i="1"/>
  <c r="B1265" i="1"/>
  <c r="C1264" i="1"/>
  <c r="B1264" i="1"/>
  <c r="C1263" i="1"/>
  <c r="B1263" i="1"/>
  <c r="C1262" i="1"/>
  <c r="B1262" i="1"/>
  <c r="C1261" i="1"/>
  <c r="B1261" i="1"/>
  <c r="C1260" i="1"/>
  <c r="B1260" i="1"/>
  <c r="C1259" i="1"/>
  <c r="B1259" i="1"/>
  <c r="C1258" i="1"/>
  <c r="B1258" i="1"/>
  <c r="C1257" i="1"/>
  <c r="B1257" i="1"/>
  <c r="C1256" i="1"/>
  <c r="B1256" i="1"/>
  <c r="C1255" i="1"/>
  <c r="B1255" i="1"/>
  <c r="C1254" i="1"/>
  <c r="B1254" i="1"/>
  <c r="C1253" i="1"/>
  <c r="B1253" i="1"/>
  <c r="C1252" i="1"/>
  <c r="B1252" i="1"/>
  <c r="C1251" i="1"/>
  <c r="B1251" i="1"/>
  <c r="C1250" i="1"/>
  <c r="B1250" i="1"/>
  <c r="C1249" i="1"/>
  <c r="B1249" i="1"/>
  <c r="C1248" i="1"/>
  <c r="B1248" i="1"/>
  <c r="C1247" i="1"/>
  <c r="B1247" i="1"/>
  <c r="C1246" i="1"/>
  <c r="B1246" i="1"/>
  <c r="C1245" i="1"/>
  <c r="B1245" i="1"/>
  <c r="C1244" i="1"/>
  <c r="B1244" i="1"/>
  <c r="C1243" i="1"/>
  <c r="B1243" i="1"/>
  <c r="C1242" i="1"/>
  <c r="B1242" i="1"/>
  <c r="C1241" i="1"/>
  <c r="B1241" i="1"/>
  <c r="C1240" i="1"/>
  <c r="B1240" i="1"/>
  <c r="C1239" i="1"/>
  <c r="B1239" i="1"/>
  <c r="C1238" i="1"/>
  <c r="B1238" i="1"/>
  <c r="C1237" i="1"/>
  <c r="B1237" i="1"/>
  <c r="C1236" i="1"/>
  <c r="B1236" i="1"/>
  <c r="C1235" i="1"/>
  <c r="B1235" i="1"/>
  <c r="C1234" i="1"/>
  <c r="B1234" i="1"/>
  <c r="C1233" i="1"/>
  <c r="B1233" i="1"/>
  <c r="C1232" i="1"/>
  <c r="B1232" i="1"/>
  <c r="C1231" i="1"/>
  <c r="B1231" i="1"/>
  <c r="C1230" i="1"/>
  <c r="B1230" i="1"/>
  <c r="C1229" i="1"/>
  <c r="B1229" i="1"/>
  <c r="C1228" i="1"/>
  <c r="B1228" i="1"/>
  <c r="C1227" i="1"/>
  <c r="B1227" i="1"/>
  <c r="C1226" i="1"/>
  <c r="B1226" i="1"/>
  <c r="C1225" i="1"/>
  <c r="B1225" i="1"/>
  <c r="C1224" i="1"/>
  <c r="B1224" i="1"/>
  <c r="C1223" i="1"/>
  <c r="B1223" i="1"/>
  <c r="C1222" i="1"/>
  <c r="B1222" i="1"/>
  <c r="C1221" i="1"/>
  <c r="B1221" i="1"/>
  <c r="C1220" i="1"/>
  <c r="B1220" i="1"/>
  <c r="C1219" i="1"/>
  <c r="B1219" i="1"/>
  <c r="C1218" i="1"/>
  <c r="B1218" i="1"/>
  <c r="C1217" i="1"/>
  <c r="B1217" i="1"/>
  <c r="C1216" i="1"/>
  <c r="B1216" i="1"/>
  <c r="C1215" i="1"/>
  <c r="B1215" i="1"/>
  <c r="C1214" i="1"/>
  <c r="B1214" i="1"/>
  <c r="C1213" i="1"/>
  <c r="B1213" i="1"/>
  <c r="C1212" i="1"/>
  <c r="B1212" i="1"/>
  <c r="C1211" i="1"/>
  <c r="B1211" i="1"/>
  <c r="C1210" i="1"/>
  <c r="B1210" i="1"/>
  <c r="C1209" i="1"/>
  <c r="B1209" i="1"/>
  <c r="C1208" i="1"/>
  <c r="B1208" i="1"/>
  <c r="C1207" i="1"/>
  <c r="B1207" i="1"/>
  <c r="C1206" i="1"/>
  <c r="B1206" i="1"/>
  <c r="C1205" i="1"/>
  <c r="B1205" i="1"/>
  <c r="C1204" i="1"/>
  <c r="B1204" i="1"/>
  <c r="C1203" i="1"/>
  <c r="B1203" i="1"/>
  <c r="C1202" i="1"/>
  <c r="B1202" i="1"/>
  <c r="C1201" i="1"/>
  <c r="B1201" i="1"/>
  <c r="C1200" i="1"/>
  <c r="B1200" i="1"/>
  <c r="C1199" i="1"/>
  <c r="B1199" i="1"/>
  <c r="C1198" i="1"/>
  <c r="B1198" i="1"/>
  <c r="C1197" i="1"/>
  <c r="B1197" i="1"/>
  <c r="C1196" i="1"/>
  <c r="B1196" i="1"/>
  <c r="C1195" i="1"/>
  <c r="B1195" i="1"/>
  <c r="C1194" i="1"/>
  <c r="B1194" i="1"/>
  <c r="C1193" i="1"/>
  <c r="B1193" i="1"/>
  <c r="C1192" i="1"/>
  <c r="B1192" i="1"/>
  <c r="C1191" i="1"/>
  <c r="B1191" i="1"/>
  <c r="C1190" i="1"/>
  <c r="B1190" i="1"/>
  <c r="C1189" i="1"/>
  <c r="B1189" i="1"/>
  <c r="C1188" i="1"/>
  <c r="B1188" i="1"/>
  <c r="C1187" i="1"/>
  <c r="B1187" i="1"/>
  <c r="C1186" i="1"/>
  <c r="B1186" i="1"/>
  <c r="C1185" i="1"/>
  <c r="B1185" i="1"/>
  <c r="C1184" i="1"/>
  <c r="B1184" i="1"/>
  <c r="C1183" i="1"/>
  <c r="B1183" i="1"/>
  <c r="C1182" i="1"/>
  <c r="B1182" i="1"/>
  <c r="C1181" i="1"/>
  <c r="B1181" i="1"/>
  <c r="C1180" i="1"/>
  <c r="B1180" i="1"/>
  <c r="C1179" i="1"/>
  <c r="B1179" i="1"/>
  <c r="C1178" i="1"/>
  <c r="B1178" i="1"/>
  <c r="C1177" i="1"/>
  <c r="B1177" i="1"/>
  <c r="C1176" i="1"/>
  <c r="B1176" i="1"/>
  <c r="C1175" i="1"/>
  <c r="B1175" i="1"/>
  <c r="C1174" i="1"/>
  <c r="B1174" i="1"/>
  <c r="C1173" i="1"/>
  <c r="B1173" i="1"/>
  <c r="C1172" i="1"/>
  <c r="B1172" i="1"/>
  <c r="C1171" i="1"/>
  <c r="B1171" i="1"/>
  <c r="C1170" i="1"/>
  <c r="B1170" i="1"/>
  <c r="C1169" i="1"/>
  <c r="B1169" i="1"/>
  <c r="C1168" i="1"/>
  <c r="B1168" i="1"/>
  <c r="C1167" i="1"/>
  <c r="B1167" i="1"/>
  <c r="C1166" i="1"/>
  <c r="B1166" i="1"/>
  <c r="C1165" i="1"/>
  <c r="B1165" i="1"/>
  <c r="C1164" i="1"/>
  <c r="B1164" i="1"/>
  <c r="C1163" i="1"/>
  <c r="B1163" i="1"/>
  <c r="C1162" i="1"/>
  <c r="B1162" i="1"/>
  <c r="C1161" i="1"/>
  <c r="B1161" i="1"/>
  <c r="C1160" i="1"/>
  <c r="B1160" i="1"/>
  <c r="C1159" i="1"/>
  <c r="B1159" i="1"/>
  <c r="C1158" i="1"/>
  <c r="B1158" i="1"/>
  <c r="C1157" i="1"/>
  <c r="B1157" i="1"/>
  <c r="C1156" i="1"/>
  <c r="B1156" i="1"/>
  <c r="C1155" i="1"/>
  <c r="B1155" i="1"/>
  <c r="C1154" i="1"/>
  <c r="B1154" i="1"/>
  <c r="C1153" i="1"/>
  <c r="B1153" i="1"/>
  <c r="C1152" i="1"/>
  <c r="B1152" i="1"/>
  <c r="C1151" i="1"/>
  <c r="B1151" i="1"/>
  <c r="C1150" i="1"/>
  <c r="B1150" i="1"/>
  <c r="C1149" i="1"/>
  <c r="B1149" i="1"/>
  <c r="C1148" i="1"/>
  <c r="B1148" i="1"/>
  <c r="C1147" i="1"/>
  <c r="B1147" i="1"/>
  <c r="C1146" i="1"/>
  <c r="B1146" i="1"/>
  <c r="C1145" i="1"/>
  <c r="B1145" i="1"/>
  <c r="C1144" i="1"/>
  <c r="B1144" i="1"/>
  <c r="C1143" i="1"/>
  <c r="B1143" i="1"/>
  <c r="C1142" i="1"/>
  <c r="B1142" i="1"/>
  <c r="C1141" i="1"/>
  <c r="B1141" i="1"/>
  <c r="C1140" i="1"/>
  <c r="B1140" i="1"/>
  <c r="C1139" i="1"/>
  <c r="B1139" i="1"/>
  <c r="C1138" i="1"/>
  <c r="B1138" i="1"/>
  <c r="C1137" i="1"/>
  <c r="B1137" i="1"/>
  <c r="C1136" i="1"/>
  <c r="B1136" i="1"/>
  <c r="C1135" i="1"/>
  <c r="B1135" i="1"/>
  <c r="C1134" i="1"/>
  <c r="B1134" i="1"/>
  <c r="C1133" i="1"/>
  <c r="B1133" i="1"/>
  <c r="C1132" i="1"/>
  <c r="B1132" i="1"/>
  <c r="C1131" i="1"/>
  <c r="B1131" i="1"/>
  <c r="C1130" i="1"/>
  <c r="B1130" i="1"/>
  <c r="C1129" i="1"/>
  <c r="B1129" i="1"/>
  <c r="C1128" i="1"/>
  <c r="B1128" i="1"/>
  <c r="C1127" i="1"/>
  <c r="B1127" i="1"/>
  <c r="C1126" i="1"/>
  <c r="B1126" i="1"/>
  <c r="C1125" i="1"/>
  <c r="B1125" i="1"/>
  <c r="C1124" i="1"/>
  <c r="B1124" i="1"/>
  <c r="C1123" i="1"/>
  <c r="B1123" i="1"/>
  <c r="C1122" i="1"/>
  <c r="B1122" i="1"/>
  <c r="C1121" i="1"/>
  <c r="B1121" i="1"/>
  <c r="C1120" i="1"/>
  <c r="B1120" i="1"/>
  <c r="C1119" i="1"/>
  <c r="B1119" i="1"/>
  <c r="C1118" i="1"/>
  <c r="B1118" i="1"/>
  <c r="C1117" i="1"/>
  <c r="B1117" i="1"/>
  <c r="C1116" i="1"/>
  <c r="B1116" i="1"/>
  <c r="C1115" i="1"/>
  <c r="B1115" i="1"/>
  <c r="C1114" i="1"/>
  <c r="B1114" i="1"/>
  <c r="C1113" i="1"/>
  <c r="B1113" i="1"/>
  <c r="C1112" i="1"/>
  <c r="B1112" i="1"/>
  <c r="C1111" i="1"/>
  <c r="B1111" i="1"/>
  <c r="C1110" i="1"/>
  <c r="B1110" i="1"/>
  <c r="C1109" i="1"/>
  <c r="B1109" i="1"/>
  <c r="C1108" i="1"/>
  <c r="B1108" i="1"/>
  <c r="C1107" i="1"/>
  <c r="B1107" i="1"/>
  <c r="C1106" i="1"/>
  <c r="B1106" i="1"/>
  <c r="C1105" i="1"/>
  <c r="B1105" i="1"/>
  <c r="C1104" i="1"/>
  <c r="B1104" i="1"/>
  <c r="C1103" i="1"/>
  <c r="B1103" i="1"/>
  <c r="C1102" i="1"/>
  <c r="B1102" i="1"/>
  <c r="C1101" i="1"/>
  <c r="B1101" i="1"/>
  <c r="C1100" i="1"/>
  <c r="B1100" i="1"/>
  <c r="C1099" i="1"/>
  <c r="B1099" i="1"/>
  <c r="C1098" i="1"/>
  <c r="B1098" i="1"/>
  <c r="C1097" i="1"/>
  <c r="B1097" i="1"/>
  <c r="C1096" i="1"/>
  <c r="B1096" i="1"/>
  <c r="C1095" i="1"/>
  <c r="B1095" i="1"/>
  <c r="C1094" i="1"/>
  <c r="B1094" i="1"/>
  <c r="C1093" i="1"/>
  <c r="B1093" i="1"/>
  <c r="C1092" i="1"/>
  <c r="B1092" i="1"/>
  <c r="C1091" i="1"/>
  <c r="B1091" i="1"/>
  <c r="C1090" i="1"/>
  <c r="B1090" i="1"/>
  <c r="C1089" i="1"/>
  <c r="B1089" i="1"/>
  <c r="C1088" i="1"/>
  <c r="B1088" i="1"/>
  <c r="C1087" i="1"/>
  <c r="B1087" i="1"/>
  <c r="C1086" i="1"/>
  <c r="B1086" i="1"/>
  <c r="C1085" i="1"/>
  <c r="B1085" i="1"/>
  <c r="C1084" i="1"/>
  <c r="B1084" i="1"/>
  <c r="C1083" i="1"/>
  <c r="B1083" i="1"/>
  <c r="C1082" i="1"/>
  <c r="B1082" i="1"/>
  <c r="C1081" i="1"/>
  <c r="B1081" i="1"/>
  <c r="C1080" i="1"/>
  <c r="B1080" i="1"/>
  <c r="C1079" i="1"/>
  <c r="B1079" i="1"/>
  <c r="C1078" i="1"/>
  <c r="B1078" i="1"/>
  <c r="C1077" i="1"/>
  <c r="B1077" i="1"/>
  <c r="C1076" i="1"/>
  <c r="B1076" i="1"/>
  <c r="C1075" i="1"/>
  <c r="B1075" i="1"/>
  <c r="C1074" i="1"/>
  <c r="B1074" i="1"/>
  <c r="C1073" i="1"/>
  <c r="B1073" i="1"/>
  <c r="C1072" i="1"/>
  <c r="B1072" i="1"/>
  <c r="C1071" i="1"/>
  <c r="B1071" i="1"/>
  <c r="C1070" i="1"/>
  <c r="B1070" i="1"/>
  <c r="C1069" i="1"/>
  <c r="B1069" i="1"/>
  <c r="C1068" i="1"/>
  <c r="B1068" i="1"/>
  <c r="C1067" i="1"/>
  <c r="B1067" i="1"/>
  <c r="C1066" i="1"/>
  <c r="B1066" i="1"/>
  <c r="C1065" i="1"/>
  <c r="B1065" i="1"/>
  <c r="C1064" i="1"/>
  <c r="B1064" i="1"/>
  <c r="C1063" i="1"/>
  <c r="B1063" i="1"/>
  <c r="C1062" i="1"/>
  <c r="B1062" i="1"/>
  <c r="C1061" i="1"/>
  <c r="B1061" i="1"/>
  <c r="C1060" i="1"/>
  <c r="B1060" i="1"/>
  <c r="C1059" i="1"/>
  <c r="B1059" i="1"/>
  <c r="C1058" i="1"/>
  <c r="B1058" i="1"/>
  <c r="C1057" i="1"/>
  <c r="B1057" i="1"/>
  <c r="C1056" i="1"/>
  <c r="B1056" i="1"/>
  <c r="C1055" i="1"/>
  <c r="B1055" i="1"/>
  <c r="C1054" i="1"/>
  <c r="B1054" i="1"/>
  <c r="C1053" i="1"/>
  <c r="B1053" i="1"/>
  <c r="C1052" i="1"/>
  <c r="B1052" i="1"/>
  <c r="C1051" i="1"/>
  <c r="B1051" i="1"/>
  <c r="C1050" i="1"/>
  <c r="B1050" i="1"/>
  <c r="C1049" i="1"/>
  <c r="B1049" i="1"/>
  <c r="C1048" i="1"/>
  <c r="B1048" i="1"/>
  <c r="C1047" i="1"/>
  <c r="B1047" i="1"/>
  <c r="C1046" i="1"/>
  <c r="B1046" i="1"/>
  <c r="C1045" i="1"/>
  <c r="B1045" i="1"/>
  <c r="C1044" i="1"/>
  <c r="B1044" i="1"/>
  <c r="C1043" i="1"/>
  <c r="B1043" i="1"/>
  <c r="C1042" i="1"/>
  <c r="B1042" i="1"/>
  <c r="C1041" i="1"/>
  <c r="B1041" i="1"/>
  <c r="C1040" i="1"/>
  <c r="B1040" i="1"/>
  <c r="C1039" i="1"/>
  <c r="B1039" i="1"/>
  <c r="C1038" i="1"/>
  <c r="B1038" i="1"/>
  <c r="C1037" i="1"/>
  <c r="B1037" i="1"/>
  <c r="C1036" i="1"/>
  <c r="B1036" i="1"/>
  <c r="C1035" i="1"/>
  <c r="B1035" i="1"/>
  <c r="C1034" i="1"/>
  <c r="B1034" i="1"/>
  <c r="C1033" i="1"/>
  <c r="B1033" i="1"/>
  <c r="C1032" i="1"/>
  <c r="B1032" i="1"/>
  <c r="C1031" i="1"/>
  <c r="B1031" i="1"/>
  <c r="C1030" i="1"/>
  <c r="B1030" i="1"/>
  <c r="C1029" i="1"/>
  <c r="B1029" i="1"/>
  <c r="C1028" i="1"/>
  <c r="B1028" i="1"/>
  <c r="C1027" i="1"/>
  <c r="B1027" i="1"/>
  <c r="C1026" i="1"/>
  <c r="B1026" i="1"/>
  <c r="C1025" i="1"/>
  <c r="B1025" i="1"/>
  <c r="C1024" i="1"/>
  <c r="B1024" i="1"/>
  <c r="C1023" i="1"/>
  <c r="B1023" i="1"/>
  <c r="C1022" i="1"/>
  <c r="B1022" i="1"/>
  <c r="C1021" i="1"/>
  <c r="B1021" i="1"/>
  <c r="C1020" i="1"/>
  <c r="B1020" i="1"/>
  <c r="C1019" i="1"/>
  <c r="B1019" i="1"/>
  <c r="C1018" i="1"/>
  <c r="B1018" i="1"/>
  <c r="C1017" i="1"/>
  <c r="B1017" i="1"/>
  <c r="C1016" i="1"/>
  <c r="B1016" i="1"/>
  <c r="C1015" i="1"/>
  <c r="B1015" i="1"/>
  <c r="C1014" i="1"/>
  <c r="B1014" i="1"/>
  <c r="C1013" i="1"/>
  <c r="B1013" i="1"/>
  <c r="C1012" i="1"/>
  <c r="B1012" i="1"/>
  <c r="C1011" i="1"/>
  <c r="B1011" i="1"/>
  <c r="C1010" i="1"/>
  <c r="B1010" i="1"/>
  <c r="C1009" i="1"/>
  <c r="B1009" i="1"/>
  <c r="C1008" i="1"/>
  <c r="B1008" i="1"/>
  <c r="C1007" i="1"/>
  <c r="B1007" i="1"/>
  <c r="C1006" i="1"/>
  <c r="B1006" i="1"/>
  <c r="C1005" i="1"/>
  <c r="B1005" i="1"/>
  <c r="C1004" i="1"/>
  <c r="B1004" i="1"/>
  <c r="C1003" i="1"/>
  <c r="B1003" i="1"/>
  <c r="C1002" i="1"/>
  <c r="B1002" i="1"/>
  <c r="C1001" i="1"/>
  <c r="B1001" i="1"/>
  <c r="C1000" i="1"/>
  <c r="B1000" i="1"/>
  <c r="C999" i="1"/>
  <c r="B999" i="1"/>
  <c r="C998" i="1"/>
  <c r="B998" i="1"/>
  <c r="C997" i="1"/>
  <c r="B997" i="1"/>
  <c r="C996" i="1"/>
  <c r="B996" i="1"/>
  <c r="C995" i="1"/>
  <c r="B995" i="1"/>
  <c r="C994" i="1"/>
  <c r="B994" i="1"/>
  <c r="C993" i="1"/>
  <c r="B993" i="1"/>
  <c r="C992" i="1"/>
  <c r="B992" i="1"/>
  <c r="C991" i="1"/>
  <c r="B991" i="1"/>
  <c r="C990" i="1"/>
  <c r="B990" i="1"/>
  <c r="C989" i="1"/>
  <c r="B989" i="1"/>
  <c r="C988" i="1"/>
  <c r="B988" i="1"/>
  <c r="C987" i="1"/>
  <c r="B987" i="1"/>
  <c r="C986" i="1"/>
  <c r="B986" i="1"/>
  <c r="C985" i="1"/>
  <c r="B985" i="1"/>
  <c r="C984" i="1"/>
  <c r="B984" i="1"/>
  <c r="C983" i="1"/>
  <c r="B983" i="1"/>
  <c r="C982" i="1"/>
  <c r="B982" i="1"/>
  <c r="C981" i="1"/>
  <c r="B981" i="1"/>
  <c r="C980" i="1"/>
  <c r="B980" i="1"/>
  <c r="C979" i="1"/>
  <c r="B979" i="1"/>
  <c r="C978" i="1"/>
  <c r="B978" i="1"/>
  <c r="C977" i="1"/>
  <c r="B977" i="1"/>
  <c r="C976" i="1"/>
  <c r="B976" i="1"/>
  <c r="C975" i="1"/>
  <c r="B975" i="1"/>
  <c r="C974" i="1"/>
  <c r="B974" i="1"/>
  <c r="C973" i="1"/>
  <c r="B973" i="1"/>
  <c r="C972" i="1"/>
  <c r="B972" i="1"/>
  <c r="C971" i="1"/>
  <c r="B971" i="1"/>
  <c r="C970" i="1"/>
  <c r="B970" i="1"/>
  <c r="C969" i="1"/>
  <c r="B969" i="1"/>
  <c r="C968" i="1"/>
  <c r="B968" i="1"/>
  <c r="C967" i="1"/>
  <c r="B967" i="1"/>
  <c r="C966" i="1"/>
  <c r="B966" i="1"/>
  <c r="C965" i="1"/>
  <c r="B965" i="1"/>
  <c r="C964" i="1"/>
  <c r="B964" i="1"/>
  <c r="C963" i="1"/>
  <c r="B963" i="1"/>
  <c r="C962" i="1"/>
  <c r="B962" i="1"/>
  <c r="C961" i="1"/>
  <c r="B961" i="1"/>
  <c r="C960" i="1"/>
  <c r="B960" i="1"/>
  <c r="C959" i="1"/>
  <c r="B959" i="1"/>
  <c r="C958" i="1"/>
  <c r="B958" i="1"/>
  <c r="C957" i="1"/>
  <c r="B957" i="1"/>
  <c r="C956" i="1"/>
  <c r="B956" i="1"/>
  <c r="C955" i="1"/>
  <c r="B955" i="1"/>
  <c r="C954" i="1"/>
  <c r="B954" i="1"/>
  <c r="C953" i="1"/>
  <c r="B953" i="1"/>
  <c r="C952" i="1"/>
  <c r="B952" i="1"/>
  <c r="C951" i="1"/>
  <c r="B951" i="1"/>
  <c r="C950" i="1"/>
  <c r="B950" i="1"/>
  <c r="C949" i="1"/>
  <c r="B949" i="1"/>
  <c r="C948" i="1"/>
  <c r="B948" i="1"/>
  <c r="C947" i="1"/>
  <c r="B947" i="1"/>
  <c r="C946" i="1"/>
  <c r="B946" i="1"/>
  <c r="C945" i="1"/>
  <c r="B945" i="1"/>
  <c r="C944" i="1"/>
  <c r="B944" i="1"/>
  <c r="C943" i="1"/>
  <c r="B943" i="1"/>
  <c r="C942" i="1"/>
  <c r="B942" i="1"/>
  <c r="C941" i="1"/>
  <c r="B941" i="1"/>
  <c r="C940" i="1"/>
  <c r="B940" i="1"/>
  <c r="C939" i="1"/>
  <c r="B939" i="1"/>
  <c r="C938" i="1"/>
  <c r="B938" i="1"/>
  <c r="C937" i="1"/>
  <c r="B937" i="1"/>
  <c r="C936" i="1"/>
  <c r="B936" i="1"/>
  <c r="C935" i="1"/>
  <c r="B935" i="1"/>
  <c r="C934" i="1"/>
  <c r="B934" i="1"/>
  <c r="C933" i="1"/>
  <c r="B933" i="1"/>
  <c r="C932" i="1"/>
  <c r="B932" i="1"/>
  <c r="C931" i="1"/>
  <c r="B931" i="1"/>
  <c r="C930" i="1"/>
  <c r="B930" i="1"/>
  <c r="C929" i="1"/>
  <c r="B929" i="1"/>
  <c r="C928" i="1"/>
  <c r="B928" i="1"/>
  <c r="C927" i="1"/>
  <c r="B927" i="1"/>
  <c r="C926" i="1"/>
  <c r="B926" i="1"/>
  <c r="C925" i="1"/>
  <c r="B925" i="1"/>
  <c r="C924" i="1"/>
  <c r="B924" i="1"/>
  <c r="C923" i="1"/>
  <c r="B923" i="1"/>
  <c r="C922" i="1"/>
  <c r="B922" i="1"/>
  <c r="C921" i="1"/>
  <c r="B921" i="1"/>
  <c r="C920" i="1"/>
  <c r="B920" i="1"/>
  <c r="C919" i="1"/>
  <c r="B919" i="1"/>
  <c r="C918" i="1"/>
  <c r="B918" i="1"/>
  <c r="C917" i="1"/>
  <c r="B917" i="1"/>
  <c r="C916" i="1"/>
  <c r="B916" i="1"/>
  <c r="C915" i="1"/>
  <c r="B915" i="1"/>
  <c r="C914" i="1"/>
  <c r="B914" i="1"/>
  <c r="C913" i="1"/>
  <c r="B913" i="1"/>
  <c r="C912" i="1"/>
  <c r="B912" i="1"/>
  <c r="C911" i="1"/>
  <c r="B911" i="1"/>
  <c r="C910" i="1"/>
  <c r="B910" i="1"/>
  <c r="C909" i="1"/>
  <c r="B909" i="1"/>
  <c r="C908" i="1"/>
  <c r="B908" i="1"/>
  <c r="C907" i="1"/>
  <c r="B907" i="1"/>
  <c r="C906" i="1"/>
  <c r="B906" i="1"/>
  <c r="C905" i="1"/>
  <c r="B905" i="1"/>
  <c r="C904" i="1"/>
  <c r="B904" i="1"/>
  <c r="C903" i="1"/>
  <c r="B903" i="1"/>
  <c r="C902" i="1"/>
  <c r="B902" i="1"/>
  <c r="C901" i="1"/>
  <c r="B901" i="1"/>
  <c r="C900" i="1"/>
  <c r="B900" i="1"/>
  <c r="C899" i="1"/>
  <c r="B899" i="1"/>
  <c r="C898" i="1"/>
  <c r="B898" i="1"/>
  <c r="C897" i="1"/>
  <c r="B897" i="1"/>
  <c r="C896" i="1"/>
  <c r="B896" i="1"/>
  <c r="C895" i="1"/>
  <c r="B895" i="1"/>
  <c r="C894" i="1"/>
  <c r="B894" i="1"/>
  <c r="C893" i="1"/>
  <c r="B893" i="1"/>
  <c r="C892" i="1"/>
  <c r="B892" i="1"/>
  <c r="C891" i="1"/>
  <c r="B891" i="1"/>
  <c r="C890" i="1"/>
  <c r="B890" i="1"/>
  <c r="C889" i="1"/>
  <c r="B889" i="1"/>
  <c r="C888" i="1"/>
  <c r="B888" i="1"/>
  <c r="C887" i="1"/>
  <c r="B887" i="1"/>
  <c r="C886" i="1"/>
  <c r="B886" i="1"/>
  <c r="C885" i="1"/>
  <c r="B885" i="1"/>
  <c r="C884" i="1"/>
  <c r="B884" i="1"/>
  <c r="C883" i="1"/>
  <c r="B883" i="1"/>
  <c r="C882" i="1"/>
  <c r="B882" i="1"/>
  <c r="C881" i="1"/>
  <c r="B881" i="1"/>
  <c r="C880" i="1"/>
  <c r="B880" i="1"/>
  <c r="C879" i="1"/>
  <c r="B879" i="1"/>
  <c r="C878" i="1"/>
  <c r="B878" i="1"/>
  <c r="C877" i="1"/>
  <c r="B877" i="1"/>
  <c r="C876" i="1"/>
  <c r="B876" i="1"/>
  <c r="C875" i="1"/>
  <c r="B875" i="1"/>
  <c r="C874" i="1"/>
  <c r="B874" i="1"/>
  <c r="C873" i="1"/>
  <c r="B873" i="1"/>
  <c r="C872" i="1"/>
  <c r="B872" i="1"/>
  <c r="C871" i="1"/>
  <c r="B871" i="1"/>
  <c r="C870" i="1"/>
  <c r="B870" i="1"/>
  <c r="C869" i="1"/>
  <c r="B869" i="1"/>
  <c r="C868" i="1"/>
  <c r="B868" i="1"/>
  <c r="C867" i="1"/>
  <c r="B867" i="1"/>
  <c r="C866" i="1"/>
  <c r="B866" i="1"/>
  <c r="C865" i="1"/>
  <c r="B865" i="1"/>
  <c r="C864" i="1"/>
  <c r="B864" i="1"/>
  <c r="C863" i="1"/>
  <c r="B863" i="1"/>
  <c r="C862" i="1"/>
  <c r="B862" i="1"/>
  <c r="C861" i="1"/>
  <c r="B861" i="1"/>
  <c r="C860" i="1"/>
  <c r="B860" i="1"/>
  <c r="C859" i="1"/>
  <c r="B859" i="1"/>
  <c r="C858" i="1"/>
  <c r="B858" i="1"/>
  <c r="C857" i="1"/>
  <c r="B857" i="1"/>
  <c r="C856" i="1"/>
  <c r="B856" i="1"/>
  <c r="C855" i="1"/>
  <c r="B855" i="1"/>
  <c r="C854" i="1"/>
  <c r="B854" i="1"/>
  <c r="C853" i="1"/>
  <c r="B853" i="1"/>
  <c r="C852" i="1"/>
  <c r="B852" i="1"/>
  <c r="C851" i="1"/>
  <c r="B851" i="1"/>
  <c r="C850" i="1"/>
  <c r="B850" i="1"/>
  <c r="C849" i="1"/>
  <c r="B849" i="1"/>
  <c r="C848" i="1"/>
  <c r="B848" i="1"/>
  <c r="C847" i="1"/>
  <c r="B847" i="1"/>
  <c r="C846" i="1"/>
  <c r="B846" i="1"/>
  <c r="C845" i="1"/>
  <c r="B845" i="1"/>
  <c r="C844" i="1"/>
  <c r="B844" i="1"/>
  <c r="C843" i="1"/>
  <c r="B843" i="1"/>
  <c r="C842" i="1"/>
  <c r="B842" i="1"/>
  <c r="C841" i="1"/>
  <c r="B841" i="1"/>
  <c r="C840" i="1"/>
  <c r="B840" i="1"/>
  <c r="C839" i="1"/>
  <c r="B839" i="1"/>
  <c r="C838" i="1"/>
  <c r="B838" i="1"/>
  <c r="C837" i="1"/>
  <c r="B837" i="1"/>
  <c r="C836" i="1"/>
  <c r="B836" i="1"/>
  <c r="C835" i="1"/>
  <c r="B835" i="1"/>
  <c r="C834" i="1"/>
  <c r="B834" i="1"/>
  <c r="C833" i="1"/>
  <c r="B833" i="1"/>
  <c r="C832" i="1"/>
  <c r="B832" i="1"/>
  <c r="C831" i="1"/>
  <c r="B831" i="1"/>
  <c r="C830" i="1"/>
  <c r="B830" i="1"/>
  <c r="C829" i="1"/>
  <c r="B829" i="1"/>
  <c r="C828" i="1"/>
  <c r="B828" i="1"/>
  <c r="C827" i="1"/>
  <c r="B827" i="1"/>
  <c r="C826" i="1"/>
  <c r="B826" i="1"/>
  <c r="C825" i="1"/>
  <c r="B825" i="1"/>
  <c r="C824" i="1"/>
  <c r="B824" i="1"/>
  <c r="C823" i="1"/>
  <c r="B823" i="1"/>
  <c r="C822" i="1"/>
  <c r="B822" i="1"/>
  <c r="C821" i="1"/>
  <c r="B821" i="1"/>
  <c r="C820" i="1"/>
  <c r="B820" i="1"/>
  <c r="C819" i="1"/>
  <c r="B819" i="1"/>
  <c r="C818" i="1"/>
  <c r="B818" i="1"/>
  <c r="C817" i="1"/>
  <c r="B817" i="1"/>
  <c r="C816" i="1"/>
  <c r="B816" i="1"/>
  <c r="C815" i="1"/>
  <c r="B815" i="1"/>
  <c r="C814" i="1"/>
  <c r="B814" i="1"/>
  <c r="C813" i="1"/>
  <c r="B813" i="1"/>
  <c r="C812" i="1"/>
  <c r="B812" i="1"/>
  <c r="C811" i="1"/>
  <c r="B811" i="1"/>
  <c r="C810" i="1"/>
  <c r="B810" i="1"/>
  <c r="C809" i="1"/>
  <c r="B809" i="1"/>
  <c r="C808" i="1"/>
  <c r="B808" i="1"/>
  <c r="C807" i="1"/>
  <c r="B807" i="1"/>
  <c r="C806" i="1"/>
  <c r="B806" i="1"/>
  <c r="C805" i="1"/>
  <c r="B805" i="1"/>
  <c r="C804" i="1"/>
  <c r="B804" i="1"/>
  <c r="C803" i="1"/>
  <c r="B803" i="1"/>
  <c r="C802" i="1"/>
  <c r="B802" i="1"/>
  <c r="C801" i="1"/>
  <c r="B801" i="1"/>
  <c r="C800" i="1"/>
  <c r="B800" i="1"/>
  <c r="C799" i="1"/>
  <c r="B799" i="1"/>
  <c r="C798" i="1"/>
  <c r="B798" i="1"/>
  <c r="C797" i="1"/>
  <c r="B797" i="1"/>
  <c r="C796" i="1"/>
  <c r="B796" i="1"/>
  <c r="C795" i="1"/>
  <c r="B795" i="1"/>
  <c r="C794" i="1"/>
  <c r="B794" i="1"/>
  <c r="C793" i="1"/>
  <c r="B793" i="1"/>
  <c r="C792" i="1"/>
  <c r="B792" i="1"/>
  <c r="C791" i="1"/>
  <c r="B791" i="1"/>
  <c r="C790" i="1"/>
  <c r="B790" i="1"/>
  <c r="C789" i="1"/>
  <c r="B789" i="1"/>
  <c r="C788" i="1"/>
  <c r="B788" i="1"/>
  <c r="C787" i="1"/>
  <c r="B787" i="1"/>
  <c r="C786" i="1"/>
  <c r="B786" i="1"/>
  <c r="C785" i="1"/>
  <c r="B785" i="1"/>
  <c r="C784" i="1"/>
  <c r="B784" i="1"/>
  <c r="C783" i="1"/>
  <c r="B783" i="1"/>
  <c r="C782" i="1"/>
  <c r="B782" i="1"/>
  <c r="C781" i="1"/>
  <c r="B781" i="1"/>
  <c r="C780" i="1"/>
  <c r="B780" i="1"/>
  <c r="C779" i="1"/>
  <c r="B779" i="1"/>
  <c r="C778" i="1"/>
  <c r="B778" i="1"/>
  <c r="C777" i="1"/>
  <c r="B777" i="1"/>
  <c r="C776" i="1"/>
  <c r="B776" i="1"/>
  <c r="C775" i="1"/>
  <c r="B775" i="1"/>
  <c r="C774" i="1"/>
  <c r="B774" i="1"/>
  <c r="C773" i="1"/>
  <c r="B773" i="1"/>
  <c r="C772" i="1"/>
  <c r="B772" i="1"/>
  <c r="C771" i="1"/>
  <c r="B771" i="1"/>
  <c r="C770" i="1"/>
  <c r="B770" i="1"/>
  <c r="C769" i="1"/>
  <c r="B769" i="1"/>
  <c r="C768" i="1"/>
  <c r="B768" i="1"/>
  <c r="C767" i="1"/>
  <c r="B767" i="1"/>
  <c r="C766" i="1"/>
  <c r="B766" i="1"/>
  <c r="C765" i="1"/>
  <c r="B765" i="1"/>
  <c r="C764" i="1"/>
  <c r="B764" i="1"/>
  <c r="C763" i="1"/>
  <c r="B763" i="1"/>
  <c r="C762" i="1"/>
  <c r="B762" i="1"/>
  <c r="C761" i="1"/>
  <c r="B761" i="1"/>
  <c r="C760" i="1"/>
  <c r="B760" i="1"/>
  <c r="C759" i="1"/>
  <c r="B759" i="1"/>
  <c r="C758" i="1"/>
  <c r="B758" i="1"/>
  <c r="C757" i="1"/>
  <c r="B757" i="1"/>
  <c r="C756" i="1"/>
  <c r="B756" i="1"/>
  <c r="C755" i="1"/>
  <c r="B755" i="1"/>
  <c r="C754" i="1"/>
  <c r="B754" i="1"/>
  <c r="C753" i="1"/>
  <c r="B753" i="1"/>
  <c r="C752" i="1"/>
  <c r="B752" i="1"/>
  <c r="C751" i="1"/>
  <c r="B751" i="1"/>
  <c r="C750" i="1"/>
  <c r="B750" i="1"/>
  <c r="C749" i="1"/>
  <c r="B749" i="1"/>
  <c r="C748" i="1"/>
  <c r="B748" i="1"/>
  <c r="C747" i="1"/>
  <c r="B747" i="1"/>
  <c r="C746" i="1"/>
  <c r="B746" i="1"/>
  <c r="C745" i="1"/>
  <c r="B745" i="1"/>
  <c r="C744" i="1"/>
  <c r="B744" i="1"/>
  <c r="C743" i="1"/>
  <c r="B743" i="1"/>
  <c r="C742" i="1"/>
  <c r="B742" i="1"/>
  <c r="C741" i="1"/>
  <c r="B741" i="1"/>
  <c r="C740" i="1"/>
  <c r="B740" i="1"/>
  <c r="C739" i="1"/>
  <c r="B739" i="1"/>
  <c r="C738" i="1"/>
  <c r="B738" i="1"/>
  <c r="C737" i="1"/>
  <c r="B737" i="1"/>
  <c r="C736" i="1"/>
  <c r="B736" i="1"/>
  <c r="C735" i="1"/>
  <c r="B735" i="1"/>
  <c r="C734" i="1"/>
  <c r="B734" i="1"/>
  <c r="C733" i="1"/>
  <c r="B733" i="1"/>
  <c r="C732" i="1"/>
  <c r="B732" i="1"/>
  <c r="C731" i="1"/>
  <c r="B731" i="1"/>
  <c r="C730" i="1"/>
  <c r="B730" i="1"/>
  <c r="C729" i="1"/>
  <c r="B729" i="1"/>
  <c r="C728" i="1"/>
  <c r="B728" i="1"/>
  <c r="C727" i="1"/>
  <c r="B727" i="1"/>
  <c r="C726" i="1"/>
  <c r="B726" i="1"/>
  <c r="C725" i="1"/>
  <c r="B725" i="1"/>
  <c r="C724" i="1"/>
  <c r="B724" i="1"/>
  <c r="C723" i="1"/>
  <c r="B723" i="1"/>
  <c r="C722" i="1"/>
  <c r="B722" i="1"/>
  <c r="C721" i="1"/>
  <c r="B721" i="1"/>
  <c r="C720" i="1"/>
  <c r="B720" i="1"/>
  <c r="C719" i="1"/>
  <c r="B719" i="1"/>
  <c r="C718" i="1"/>
  <c r="B718" i="1"/>
  <c r="C717" i="1"/>
  <c r="B717" i="1"/>
  <c r="C716" i="1"/>
  <c r="B716" i="1"/>
  <c r="C715" i="1"/>
  <c r="B715" i="1"/>
  <c r="C714" i="1"/>
  <c r="B714" i="1"/>
  <c r="C713" i="1"/>
  <c r="B713" i="1"/>
  <c r="C712" i="1"/>
  <c r="B712" i="1"/>
  <c r="C711" i="1"/>
  <c r="B711" i="1"/>
  <c r="C710" i="1"/>
  <c r="B710" i="1"/>
  <c r="C709" i="1"/>
  <c r="B709" i="1"/>
  <c r="C708" i="1"/>
  <c r="B708" i="1"/>
  <c r="C707" i="1"/>
  <c r="B707" i="1"/>
  <c r="C706" i="1"/>
  <c r="B706" i="1"/>
  <c r="C705" i="1"/>
  <c r="B705" i="1"/>
  <c r="C704" i="1"/>
  <c r="B704" i="1"/>
  <c r="C703" i="1"/>
  <c r="B703" i="1"/>
  <c r="C702" i="1"/>
  <c r="B702" i="1"/>
  <c r="C701" i="1"/>
  <c r="B701" i="1"/>
  <c r="C700" i="1"/>
  <c r="B700" i="1"/>
  <c r="C699" i="1"/>
  <c r="B699" i="1"/>
  <c r="C698" i="1"/>
  <c r="B698" i="1"/>
  <c r="C697" i="1"/>
  <c r="B697" i="1"/>
  <c r="C696" i="1"/>
  <c r="B696" i="1"/>
  <c r="C695" i="1"/>
  <c r="B695" i="1"/>
  <c r="C694" i="1"/>
  <c r="B694" i="1"/>
  <c r="C693" i="1"/>
  <c r="B693" i="1"/>
  <c r="C692" i="1"/>
  <c r="B692" i="1"/>
  <c r="C691" i="1"/>
  <c r="B691" i="1"/>
  <c r="C690" i="1"/>
  <c r="B690" i="1"/>
  <c r="C689" i="1"/>
  <c r="B689" i="1"/>
  <c r="C688" i="1"/>
  <c r="B688" i="1"/>
  <c r="C687" i="1"/>
  <c r="B687" i="1"/>
  <c r="C686" i="1"/>
  <c r="B686" i="1"/>
  <c r="C685" i="1"/>
  <c r="B685" i="1"/>
  <c r="C684" i="1"/>
  <c r="B684" i="1"/>
  <c r="C683" i="1"/>
  <c r="B683" i="1"/>
  <c r="C682" i="1"/>
  <c r="B682" i="1"/>
  <c r="C681" i="1"/>
  <c r="B681" i="1"/>
  <c r="C680" i="1"/>
  <c r="B680" i="1"/>
  <c r="C679" i="1"/>
  <c r="B679" i="1"/>
  <c r="C678" i="1"/>
  <c r="B678" i="1"/>
  <c r="C677" i="1"/>
  <c r="B677" i="1"/>
  <c r="C676" i="1"/>
  <c r="B676" i="1"/>
  <c r="C675" i="1"/>
  <c r="B675" i="1"/>
  <c r="C674" i="1"/>
  <c r="B674" i="1"/>
  <c r="C673" i="1"/>
  <c r="B673" i="1"/>
  <c r="C672" i="1"/>
  <c r="B672" i="1"/>
  <c r="C671" i="1"/>
  <c r="B671" i="1"/>
  <c r="C670" i="1"/>
  <c r="B670" i="1"/>
  <c r="C669" i="1"/>
  <c r="B669" i="1"/>
  <c r="C668" i="1"/>
  <c r="B668" i="1"/>
  <c r="C667" i="1"/>
  <c r="B667" i="1"/>
  <c r="C666" i="1"/>
  <c r="B666" i="1"/>
  <c r="C665" i="1"/>
  <c r="B665" i="1"/>
  <c r="C664" i="1"/>
  <c r="B664" i="1"/>
  <c r="C663" i="1"/>
  <c r="B663" i="1"/>
  <c r="C662" i="1"/>
  <c r="B662" i="1"/>
  <c r="C661" i="1"/>
  <c r="B661" i="1"/>
  <c r="C660" i="1"/>
  <c r="B660" i="1"/>
  <c r="C659" i="1"/>
  <c r="B659" i="1"/>
  <c r="C658" i="1"/>
  <c r="B658" i="1"/>
  <c r="C657" i="1"/>
  <c r="B657" i="1"/>
  <c r="C656" i="1"/>
  <c r="B656" i="1"/>
  <c r="C655" i="1"/>
  <c r="B655" i="1"/>
  <c r="C654" i="1"/>
  <c r="B654" i="1"/>
  <c r="C653" i="1"/>
  <c r="B653" i="1"/>
  <c r="C652" i="1"/>
  <c r="B652" i="1"/>
  <c r="C651" i="1"/>
  <c r="B651" i="1"/>
  <c r="C650" i="1"/>
  <c r="B650" i="1"/>
  <c r="C649" i="1"/>
  <c r="B649" i="1"/>
  <c r="C648" i="1"/>
  <c r="B648" i="1"/>
  <c r="C647" i="1"/>
  <c r="B647" i="1"/>
  <c r="C646" i="1"/>
  <c r="B646" i="1"/>
  <c r="C645" i="1"/>
  <c r="B645" i="1"/>
  <c r="C644" i="1"/>
  <c r="B644" i="1"/>
  <c r="C643" i="1"/>
  <c r="B643" i="1"/>
  <c r="C642" i="1"/>
  <c r="B642" i="1"/>
  <c r="C641" i="1"/>
  <c r="B641" i="1"/>
  <c r="C640" i="1"/>
  <c r="B640" i="1"/>
  <c r="C639" i="1"/>
  <c r="B639" i="1"/>
  <c r="C638" i="1"/>
  <c r="B638" i="1"/>
  <c r="C637" i="1"/>
  <c r="B637" i="1"/>
  <c r="C636" i="1"/>
  <c r="B636" i="1"/>
  <c r="C635" i="1"/>
  <c r="B635" i="1"/>
  <c r="C634" i="1"/>
  <c r="B634" i="1"/>
  <c r="C633" i="1"/>
  <c r="B633" i="1"/>
  <c r="C632" i="1"/>
  <c r="B632" i="1"/>
  <c r="C631" i="1"/>
  <c r="B631" i="1"/>
  <c r="C630" i="1"/>
  <c r="B630" i="1"/>
  <c r="C629" i="1"/>
  <c r="B629" i="1"/>
  <c r="C628" i="1"/>
  <c r="B628" i="1"/>
  <c r="C627" i="1"/>
  <c r="B627" i="1"/>
  <c r="C626" i="1"/>
  <c r="B626" i="1"/>
  <c r="C625" i="1"/>
  <c r="B625" i="1"/>
  <c r="C624" i="1"/>
  <c r="B624" i="1"/>
  <c r="C623" i="1"/>
  <c r="B623" i="1"/>
  <c r="C622" i="1"/>
  <c r="B622" i="1"/>
  <c r="C621" i="1"/>
  <c r="B621" i="1"/>
  <c r="C620" i="1"/>
  <c r="B620" i="1"/>
  <c r="C619" i="1"/>
  <c r="B619" i="1"/>
  <c r="C618" i="1"/>
  <c r="B618" i="1"/>
  <c r="C617" i="1"/>
  <c r="B617" i="1"/>
  <c r="C616" i="1"/>
  <c r="B616" i="1"/>
  <c r="C615" i="1"/>
  <c r="B615" i="1"/>
  <c r="C614" i="1"/>
  <c r="B614" i="1"/>
  <c r="C613" i="1"/>
  <c r="B613" i="1"/>
  <c r="C612" i="1"/>
  <c r="B612" i="1"/>
  <c r="C611" i="1"/>
  <c r="B611" i="1"/>
  <c r="C610" i="1"/>
  <c r="B610" i="1"/>
  <c r="C609" i="1"/>
  <c r="B609" i="1"/>
  <c r="C608" i="1"/>
  <c r="B608" i="1"/>
  <c r="C607" i="1"/>
  <c r="B607" i="1"/>
  <c r="C606" i="1"/>
  <c r="B606" i="1"/>
  <c r="C605" i="1"/>
  <c r="B605" i="1"/>
  <c r="C604" i="1"/>
  <c r="B604" i="1"/>
  <c r="C603" i="1"/>
  <c r="B603" i="1"/>
  <c r="C602" i="1"/>
  <c r="B602" i="1"/>
  <c r="C601" i="1"/>
  <c r="B601" i="1"/>
  <c r="C600" i="1"/>
  <c r="B600" i="1"/>
  <c r="C599" i="1"/>
  <c r="B599" i="1"/>
  <c r="C598" i="1"/>
  <c r="B598" i="1"/>
  <c r="C597" i="1"/>
  <c r="B597" i="1"/>
  <c r="C596" i="1"/>
  <c r="B596" i="1"/>
  <c r="C595" i="1"/>
  <c r="B595" i="1"/>
  <c r="C594" i="1"/>
  <c r="B594" i="1"/>
  <c r="C593" i="1"/>
  <c r="B593" i="1"/>
  <c r="C592" i="1"/>
  <c r="B592" i="1"/>
  <c r="C591" i="1"/>
  <c r="B591" i="1"/>
  <c r="C590" i="1"/>
  <c r="B590" i="1"/>
  <c r="C589" i="1"/>
  <c r="B589" i="1"/>
  <c r="C588" i="1"/>
  <c r="B588" i="1"/>
  <c r="C587" i="1"/>
  <c r="B587" i="1"/>
  <c r="C586" i="1"/>
  <c r="B586" i="1"/>
  <c r="C585" i="1"/>
  <c r="B585" i="1"/>
  <c r="C584" i="1"/>
  <c r="B584" i="1"/>
  <c r="C583" i="1"/>
  <c r="B583" i="1"/>
  <c r="C582" i="1"/>
  <c r="B582" i="1"/>
  <c r="C581" i="1"/>
  <c r="B581" i="1"/>
  <c r="C580" i="1"/>
  <c r="B580" i="1"/>
  <c r="C579" i="1"/>
  <c r="B579" i="1"/>
  <c r="C578" i="1"/>
  <c r="B578" i="1"/>
  <c r="C577" i="1"/>
  <c r="B577" i="1"/>
  <c r="C576" i="1"/>
  <c r="B576" i="1"/>
  <c r="C575" i="1"/>
  <c r="B575" i="1"/>
  <c r="C574" i="1"/>
  <c r="B574" i="1"/>
  <c r="C573" i="1"/>
  <c r="B573" i="1"/>
  <c r="C572" i="1"/>
  <c r="B572" i="1"/>
  <c r="C571" i="1"/>
  <c r="B571" i="1"/>
  <c r="C570" i="1"/>
  <c r="B570" i="1"/>
  <c r="C569" i="1"/>
  <c r="B569" i="1"/>
  <c r="C568" i="1"/>
  <c r="B568" i="1"/>
  <c r="C567" i="1"/>
  <c r="B567" i="1"/>
  <c r="C566" i="1"/>
  <c r="B566" i="1"/>
  <c r="C565" i="1"/>
  <c r="B565" i="1"/>
  <c r="C564" i="1"/>
  <c r="B564" i="1"/>
  <c r="C563" i="1"/>
  <c r="B563" i="1"/>
  <c r="C562" i="1"/>
  <c r="B562" i="1"/>
  <c r="C561" i="1"/>
  <c r="B561" i="1"/>
  <c r="C560" i="1"/>
  <c r="B560" i="1"/>
  <c r="C559" i="1"/>
  <c r="B559" i="1"/>
  <c r="C558" i="1"/>
  <c r="B558" i="1"/>
  <c r="C557" i="1"/>
  <c r="B557" i="1"/>
  <c r="C556" i="1"/>
  <c r="B556" i="1"/>
  <c r="C555" i="1"/>
  <c r="B555" i="1"/>
  <c r="C554" i="1"/>
  <c r="B554" i="1"/>
  <c r="C553" i="1"/>
  <c r="B553" i="1"/>
  <c r="C552" i="1"/>
  <c r="B552" i="1"/>
  <c r="C551" i="1"/>
  <c r="B551" i="1"/>
  <c r="C550" i="1"/>
  <c r="B550" i="1"/>
  <c r="C549" i="1"/>
  <c r="B549" i="1"/>
  <c r="C548" i="1"/>
  <c r="B548" i="1"/>
  <c r="C547" i="1"/>
  <c r="B547" i="1"/>
  <c r="C546" i="1"/>
  <c r="B546" i="1"/>
  <c r="C545" i="1"/>
  <c r="B545" i="1"/>
  <c r="C544" i="1"/>
  <c r="B544" i="1"/>
  <c r="C543" i="1"/>
  <c r="B543" i="1"/>
  <c r="C542" i="1"/>
  <c r="B542" i="1"/>
  <c r="C541" i="1"/>
  <c r="B541" i="1"/>
  <c r="C540" i="1"/>
  <c r="B540" i="1"/>
  <c r="C539" i="1"/>
  <c r="B539" i="1"/>
  <c r="C538" i="1"/>
  <c r="B538" i="1"/>
  <c r="C537" i="1"/>
  <c r="B537" i="1"/>
  <c r="C536" i="1"/>
  <c r="B536" i="1"/>
  <c r="C535" i="1"/>
  <c r="B535" i="1"/>
  <c r="C534" i="1"/>
  <c r="B534" i="1"/>
  <c r="C533" i="1"/>
  <c r="B533" i="1"/>
  <c r="C532" i="1"/>
  <c r="B532" i="1"/>
  <c r="C531" i="1"/>
  <c r="B531" i="1"/>
  <c r="C530" i="1"/>
  <c r="B530" i="1"/>
  <c r="C529" i="1"/>
  <c r="B529" i="1"/>
  <c r="C528" i="1"/>
  <c r="B528" i="1"/>
  <c r="C527" i="1"/>
  <c r="B527" i="1"/>
  <c r="C526" i="1"/>
  <c r="B526" i="1"/>
  <c r="C525" i="1"/>
  <c r="B525" i="1"/>
  <c r="C524" i="1"/>
  <c r="B524" i="1"/>
  <c r="C523" i="1"/>
  <c r="B523" i="1"/>
  <c r="C522" i="1"/>
  <c r="B522" i="1"/>
  <c r="C521" i="1"/>
  <c r="B521" i="1"/>
  <c r="C520" i="1"/>
  <c r="B520" i="1"/>
  <c r="C519" i="1"/>
  <c r="B519" i="1"/>
  <c r="C518" i="1"/>
  <c r="B518" i="1"/>
  <c r="C517" i="1"/>
  <c r="B517" i="1"/>
  <c r="C516" i="1"/>
  <c r="B516" i="1"/>
  <c r="C515" i="1"/>
  <c r="B515" i="1"/>
  <c r="C514" i="1"/>
  <c r="B514" i="1"/>
  <c r="C513" i="1"/>
  <c r="B513" i="1"/>
  <c r="C512" i="1"/>
  <c r="B512" i="1"/>
  <c r="C511" i="1"/>
  <c r="B511" i="1"/>
  <c r="C510" i="1"/>
  <c r="B510" i="1"/>
  <c r="C509" i="1"/>
  <c r="B509" i="1"/>
  <c r="C508" i="1"/>
  <c r="B508" i="1"/>
  <c r="C507" i="1"/>
  <c r="B507" i="1"/>
  <c r="C506" i="1"/>
  <c r="B506" i="1"/>
  <c r="C505" i="1"/>
  <c r="B505" i="1"/>
  <c r="C504" i="1"/>
  <c r="B504" i="1"/>
  <c r="C503" i="1"/>
  <c r="B503" i="1"/>
  <c r="C502" i="1"/>
  <c r="B502" i="1"/>
  <c r="C501" i="1"/>
  <c r="B501" i="1"/>
  <c r="C500" i="1"/>
  <c r="B500" i="1"/>
  <c r="C499" i="1"/>
  <c r="B499" i="1"/>
  <c r="C498" i="1"/>
  <c r="B498" i="1"/>
  <c r="C497" i="1"/>
  <c r="B497" i="1"/>
  <c r="C496" i="1"/>
  <c r="B496" i="1"/>
  <c r="C495" i="1"/>
  <c r="B495" i="1"/>
  <c r="C494" i="1"/>
  <c r="B494" i="1"/>
  <c r="C493" i="1"/>
  <c r="B493" i="1"/>
  <c r="C492" i="1"/>
  <c r="B492" i="1"/>
  <c r="C491" i="1"/>
  <c r="B491" i="1"/>
  <c r="C490" i="1"/>
  <c r="B490" i="1"/>
  <c r="C489" i="1"/>
  <c r="B489" i="1"/>
  <c r="C488" i="1"/>
  <c r="B488" i="1"/>
  <c r="C487" i="1"/>
  <c r="B487" i="1"/>
  <c r="C486" i="1"/>
  <c r="B486" i="1"/>
  <c r="C485" i="1"/>
  <c r="B485" i="1"/>
  <c r="C484" i="1"/>
  <c r="B484" i="1"/>
  <c r="C483" i="1"/>
  <c r="B483" i="1"/>
  <c r="C482" i="1"/>
  <c r="B482" i="1"/>
  <c r="C481" i="1"/>
  <c r="B481" i="1"/>
  <c r="C480" i="1"/>
  <c r="B480" i="1"/>
  <c r="C479" i="1"/>
  <c r="B479" i="1"/>
  <c r="C478" i="1"/>
  <c r="B478" i="1"/>
  <c r="C477" i="1"/>
  <c r="B477" i="1"/>
  <c r="C476" i="1"/>
  <c r="B476" i="1"/>
  <c r="C475" i="1"/>
  <c r="B475" i="1"/>
  <c r="C474" i="1"/>
  <c r="B474" i="1"/>
  <c r="C473" i="1"/>
  <c r="B473" i="1"/>
  <c r="C472" i="1"/>
  <c r="B472" i="1"/>
  <c r="C471" i="1"/>
  <c r="B471" i="1"/>
  <c r="C470" i="1"/>
  <c r="B470" i="1"/>
  <c r="C469" i="1"/>
  <c r="B469" i="1"/>
  <c r="C468" i="1"/>
  <c r="B468" i="1"/>
  <c r="C467" i="1"/>
  <c r="B467" i="1"/>
  <c r="C466" i="1"/>
  <c r="B466" i="1"/>
  <c r="C465" i="1"/>
  <c r="B465" i="1"/>
  <c r="C464" i="1"/>
  <c r="B464" i="1"/>
  <c r="C463" i="1"/>
  <c r="B463" i="1"/>
  <c r="C462" i="1"/>
  <c r="B462" i="1"/>
  <c r="C461" i="1"/>
  <c r="B461" i="1"/>
  <c r="C460" i="1"/>
  <c r="B460" i="1"/>
  <c r="C459" i="1"/>
  <c r="B459" i="1"/>
  <c r="C458" i="1"/>
  <c r="B458" i="1"/>
  <c r="C457" i="1"/>
  <c r="B457" i="1"/>
  <c r="C456" i="1"/>
  <c r="B456" i="1"/>
  <c r="C455" i="1"/>
  <c r="B455" i="1"/>
  <c r="C454" i="1"/>
  <c r="B454" i="1"/>
  <c r="C453" i="1"/>
  <c r="B453" i="1"/>
  <c r="C452" i="1"/>
  <c r="B452" i="1"/>
  <c r="C451" i="1"/>
  <c r="B451" i="1"/>
  <c r="C450" i="1"/>
  <c r="B450" i="1"/>
  <c r="C449" i="1"/>
  <c r="B449" i="1"/>
  <c r="C448" i="1"/>
  <c r="B448" i="1"/>
  <c r="C447" i="1"/>
  <c r="B447" i="1"/>
  <c r="C446" i="1"/>
  <c r="B446" i="1"/>
  <c r="C445" i="1"/>
  <c r="B445" i="1"/>
  <c r="C444" i="1"/>
  <c r="B444" i="1"/>
  <c r="C443" i="1"/>
  <c r="B443" i="1"/>
  <c r="C442" i="1"/>
  <c r="B442" i="1"/>
  <c r="C441" i="1"/>
  <c r="B441" i="1"/>
  <c r="C440" i="1"/>
  <c r="B440" i="1"/>
  <c r="C439" i="1"/>
  <c r="B439" i="1"/>
  <c r="C438" i="1"/>
  <c r="B438" i="1"/>
  <c r="C437" i="1"/>
  <c r="B437" i="1"/>
  <c r="C436" i="1"/>
  <c r="B436" i="1"/>
  <c r="C435" i="1"/>
  <c r="B435" i="1"/>
  <c r="C434" i="1"/>
  <c r="B434" i="1"/>
  <c r="C433" i="1"/>
  <c r="B433" i="1"/>
  <c r="C432" i="1"/>
  <c r="B432" i="1"/>
  <c r="C431" i="1"/>
  <c r="B431" i="1"/>
  <c r="C430" i="1"/>
  <c r="B430" i="1"/>
  <c r="C429" i="1"/>
  <c r="B429" i="1"/>
  <c r="C428" i="1"/>
  <c r="B428" i="1"/>
  <c r="C427" i="1"/>
  <c r="B427" i="1"/>
  <c r="C426" i="1"/>
  <c r="B426" i="1"/>
  <c r="C425" i="1"/>
  <c r="B425" i="1"/>
  <c r="C424" i="1"/>
  <c r="B424" i="1"/>
  <c r="C423" i="1"/>
  <c r="B423" i="1"/>
  <c r="C422" i="1"/>
  <c r="B422" i="1"/>
  <c r="C421" i="1"/>
  <c r="B421" i="1"/>
  <c r="C420" i="1"/>
  <c r="B420" i="1"/>
  <c r="C419" i="1"/>
  <c r="B419" i="1"/>
  <c r="C418" i="1"/>
  <c r="B418" i="1"/>
  <c r="C417" i="1"/>
  <c r="B417" i="1"/>
  <c r="C416" i="1"/>
  <c r="B416" i="1"/>
  <c r="C415" i="1"/>
  <c r="B415" i="1"/>
  <c r="C414" i="1"/>
  <c r="B414" i="1"/>
  <c r="C413" i="1"/>
  <c r="B413" i="1"/>
  <c r="C412" i="1"/>
  <c r="B412" i="1"/>
  <c r="C411" i="1"/>
  <c r="B411" i="1"/>
  <c r="C410" i="1"/>
  <c r="B410" i="1"/>
  <c r="C409" i="1"/>
  <c r="B409" i="1"/>
  <c r="C408" i="1"/>
  <c r="B408" i="1"/>
  <c r="C407" i="1"/>
  <c r="B407" i="1"/>
  <c r="C406" i="1"/>
  <c r="B406" i="1"/>
  <c r="C405" i="1"/>
  <c r="B405" i="1"/>
  <c r="C404" i="1"/>
  <c r="B404" i="1"/>
  <c r="C403" i="1"/>
  <c r="B403" i="1"/>
  <c r="C402" i="1"/>
  <c r="B402" i="1"/>
  <c r="C401" i="1"/>
  <c r="B401" i="1"/>
  <c r="C400" i="1"/>
  <c r="B400" i="1"/>
  <c r="C399" i="1"/>
  <c r="B399" i="1"/>
  <c r="C398" i="1"/>
  <c r="B398" i="1"/>
  <c r="C397" i="1"/>
  <c r="B397" i="1"/>
  <c r="C396" i="1"/>
  <c r="B396" i="1"/>
  <c r="C395" i="1"/>
  <c r="B395" i="1"/>
  <c r="C394" i="1"/>
  <c r="B394" i="1"/>
  <c r="C393" i="1"/>
  <c r="B393" i="1"/>
  <c r="C392" i="1"/>
  <c r="B392" i="1"/>
  <c r="C391" i="1"/>
  <c r="B391" i="1"/>
  <c r="C390" i="1"/>
  <c r="B390" i="1"/>
  <c r="C389" i="1"/>
  <c r="B389" i="1"/>
  <c r="C388" i="1"/>
  <c r="B388" i="1"/>
  <c r="C387" i="1"/>
  <c r="B387" i="1"/>
  <c r="C386" i="1"/>
  <c r="B386" i="1"/>
  <c r="C385" i="1"/>
  <c r="B385" i="1"/>
  <c r="C384" i="1"/>
  <c r="B384" i="1"/>
  <c r="C383" i="1"/>
  <c r="B383" i="1"/>
  <c r="C382" i="1"/>
  <c r="B382" i="1"/>
  <c r="C381" i="1"/>
  <c r="B381" i="1"/>
  <c r="C380" i="1"/>
  <c r="B380" i="1"/>
  <c r="C379" i="1"/>
  <c r="B379" i="1"/>
  <c r="C378" i="1"/>
  <c r="B378" i="1"/>
  <c r="C377" i="1"/>
  <c r="B377" i="1"/>
  <c r="C376" i="1"/>
  <c r="B376" i="1"/>
  <c r="C375" i="1"/>
  <c r="B375" i="1"/>
  <c r="C374" i="1"/>
  <c r="B374" i="1"/>
  <c r="C373" i="1"/>
  <c r="B373" i="1"/>
  <c r="C372" i="1"/>
  <c r="B372" i="1"/>
  <c r="C371" i="1"/>
  <c r="B371" i="1"/>
  <c r="C370" i="1"/>
  <c r="B370" i="1"/>
  <c r="C369" i="1"/>
  <c r="B369" i="1"/>
  <c r="C368" i="1"/>
  <c r="B368" i="1"/>
  <c r="C367" i="1"/>
  <c r="B367" i="1"/>
  <c r="C366" i="1"/>
  <c r="B366" i="1"/>
  <c r="C365" i="1"/>
  <c r="B365" i="1"/>
  <c r="C364" i="1"/>
  <c r="B364" i="1"/>
  <c r="C363" i="1"/>
  <c r="B363" i="1"/>
  <c r="C362" i="1"/>
  <c r="B362" i="1"/>
  <c r="C361" i="1"/>
  <c r="B361" i="1"/>
  <c r="C360" i="1"/>
  <c r="B360" i="1"/>
  <c r="C359" i="1"/>
  <c r="B359" i="1"/>
  <c r="C358" i="1"/>
  <c r="B358" i="1"/>
  <c r="C357" i="1"/>
  <c r="B357" i="1"/>
  <c r="C356" i="1"/>
  <c r="B356" i="1"/>
  <c r="C355" i="1"/>
  <c r="B355" i="1"/>
  <c r="C354" i="1"/>
  <c r="B354" i="1"/>
  <c r="C353" i="1"/>
  <c r="B353" i="1"/>
  <c r="C352" i="1"/>
  <c r="B352" i="1"/>
  <c r="C351" i="1"/>
  <c r="B351" i="1"/>
  <c r="C350" i="1"/>
  <c r="B350" i="1"/>
  <c r="C349" i="1"/>
  <c r="B349" i="1"/>
  <c r="C348" i="1"/>
  <c r="B348" i="1"/>
  <c r="C347" i="1"/>
  <c r="B347" i="1"/>
  <c r="C346" i="1"/>
  <c r="B346" i="1"/>
  <c r="C345" i="1"/>
  <c r="B345" i="1"/>
  <c r="C344" i="1"/>
  <c r="B344" i="1"/>
  <c r="C343" i="1"/>
  <c r="B343" i="1"/>
  <c r="C342" i="1"/>
  <c r="B342" i="1"/>
  <c r="C341" i="1"/>
  <c r="B341" i="1"/>
  <c r="C340" i="1"/>
  <c r="B340" i="1"/>
  <c r="C339" i="1"/>
  <c r="B339" i="1"/>
  <c r="C338" i="1"/>
  <c r="B338" i="1"/>
  <c r="C337" i="1"/>
  <c r="B337" i="1"/>
  <c r="C336" i="1"/>
  <c r="B336" i="1"/>
  <c r="C335" i="1"/>
  <c r="B335" i="1"/>
  <c r="C334" i="1"/>
  <c r="B334" i="1"/>
  <c r="C333" i="1"/>
  <c r="B333" i="1"/>
  <c r="C332" i="1"/>
  <c r="B332" i="1"/>
  <c r="C331" i="1"/>
  <c r="B331" i="1"/>
  <c r="C330" i="1"/>
  <c r="B330" i="1"/>
  <c r="C329" i="1"/>
  <c r="B329" i="1"/>
  <c r="C328" i="1"/>
  <c r="B328" i="1"/>
  <c r="C327" i="1"/>
  <c r="B327" i="1"/>
  <c r="C326" i="1"/>
  <c r="B326" i="1"/>
  <c r="C325" i="1"/>
  <c r="B325" i="1"/>
  <c r="C324" i="1"/>
  <c r="B324" i="1"/>
  <c r="C323" i="1"/>
  <c r="B323" i="1"/>
  <c r="C322" i="1"/>
  <c r="B322" i="1"/>
  <c r="C321" i="1"/>
  <c r="B321" i="1"/>
  <c r="C320" i="1"/>
  <c r="B320" i="1"/>
  <c r="C319" i="1"/>
  <c r="B319" i="1"/>
  <c r="C318" i="1"/>
  <c r="B318" i="1"/>
  <c r="C317" i="1"/>
  <c r="B317" i="1"/>
  <c r="C316" i="1"/>
  <c r="B316" i="1"/>
  <c r="C315" i="1"/>
  <c r="B315" i="1"/>
  <c r="C314" i="1"/>
  <c r="B314" i="1"/>
  <c r="C313" i="1"/>
  <c r="B313" i="1"/>
  <c r="C312" i="1"/>
  <c r="B312" i="1"/>
  <c r="C311" i="1"/>
  <c r="B311" i="1"/>
  <c r="C310" i="1"/>
  <c r="B310" i="1"/>
  <c r="C309" i="1"/>
  <c r="B309" i="1"/>
  <c r="C308" i="1"/>
  <c r="B308" i="1"/>
  <c r="C307" i="1"/>
  <c r="B307" i="1"/>
  <c r="C306" i="1"/>
  <c r="B306" i="1"/>
  <c r="C305" i="1"/>
  <c r="B305" i="1"/>
  <c r="C304" i="1"/>
  <c r="B304" i="1"/>
  <c r="C303" i="1"/>
  <c r="B303" i="1"/>
  <c r="C302" i="1"/>
  <c r="B302" i="1"/>
  <c r="C301" i="1"/>
  <c r="B301" i="1"/>
  <c r="C300" i="1"/>
  <c r="B300" i="1"/>
  <c r="C299" i="1"/>
  <c r="B299" i="1"/>
  <c r="C298" i="1"/>
  <c r="B298" i="1"/>
  <c r="C297" i="1"/>
  <c r="B297" i="1"/>
  <c r="C296" i="1"/>
  <c r="B296" i="1"/>
  <c r="C295" i="1"/>
  <c r="B295" i="1"/>
  <c r="C294" i="1"/>
  <c r="B294" i="1"/>
  <c r="C293" i="1"/>
  <c r="B293" i="1"/>
  <c r="C292" i="1"/>
  <c r="B292" i="1"/>
  <c r="C291" i="1"/>
  <c r="B291" i="1"/>
  <c r="C290" i="1"/>
  <c r="B290" i="1"/>
  <c r="C289" i="1"/>
  <c r="B289" i="1"/>
  <c r="C288" i="1"/>
  <c r="B288" i="1"/>
  <c r="C287" i="1"/>
  <c r="B287" i="1"/>
  <c r="C286" i="1"/>
  <c r="B286" i="1"/>
  <c r="C285" i="1"/>
  <c r="B285" i="1"/>
  <c r="C284" i="1"/>
  <c r="B284" i="1"/>
  <c r="C283" i="1"/>
  <c r="B283" i="1"/>
  <c r="C282" i="1"/>
  <c r="B282" i="1"/>
  <c r="C281" i="1"/>
  <c r="B281" i="1"/>
  <c r="C280" i="1"/>
  <c r="B280" i="1"/>
  <c r="C279" i="1"/>
  <c r="B279" i="1"/>
  <c r="C278" i="1"/>
  <c r="B278" i="1"/>
  <c r="C277" i="1"/>
  <c r="B277" i="1"/>
  <c r="C276" i="1"/>
  <c r="B276" i="1"/>
  <c r="C275" i="1"/>
  <c r="B275" i="1"/>
  <c r="C274" i="1"/>
  <c r="B274" i="1"/>
  <c r="C273" i="1"/>
  <c r="B273" i="1"/>
  <c r="C272" i="1"/>
  <c r="B272" i="1"/>
  <c r="C271" i="1"/>
  <c r="B271" i="1"/>
  <c r="C270" i="1"/>
  <c r="B270" i="1"/>
  <c r="C269" i="1"/>
  <c r="B269" i="1"/>
  <c r="C268" i="1"/>
  <c r="B268" i="1"/>
  <c r="C267" i="1"/>
  <c r="B267" i="1"/>
  <c r="C266" i="1"/>
  <c r="B266" i="1"/>
  <c r="C265" i="1"/>
  <c r="B265" i="1"/>
  <c r="C264" i="1"/>
  <c r="B264" i="1"/>
  <c r="C263" i="1"/>
  <c r="B263" i="1"/>
  <c r="C262" i="1"/>
  <c r="B262" i="1"/>
  <c r="C261" i="1"/>
  <c r="B261" i="1"/>
  <c r="C260" i="1"/>
  <c r="B260" i="1"/>
  <c r="C259" i="1"/>
  <c r="B259" i="1"/>
  <c r="C258" i="1"/>
  <c r="B258" i="1"/>
  <c r="C257" i="1"/>
  <c r="B257" i="1"/>
  <c r="C256" i="1"/>
  <c r="B256" i="1"/>
  <c r="C255" i="1"/>
  <c r="B255" i="1"/>
  <c r="C254" i="1"/>
  <c r="B254" i="1"/>
  <c r="C253" i="1"/>
  <c r="B253" i="1"/>
  <c r="C252" i="1"/>
  <c r="B252" i="1"/>
  <c r="C251" i="1"/>
  <c r="B251" i="1"/>
  <c r="C250" i="1"/>
  <c r="B250" i="1"/>
  <c r="C249" i="1"/>
  <c r="B249" i="1"/>
  <c r="C248" i="1"/>
  <c r="B248" i="1"/>
  <c r="C247" i="1"/>
  <c r="B247" i="1"/>
  <c r="C246" i="1"/>
  <c r="B246" i="1"/>
  <c r="C245" i="1"/>
  <c r="B245" i="1"/>
  <c r="C244" i="1"/>
  <c r="B244" i="1"/>
  <c r="C243" i="1"/>
  <c r="B243" i="1"/>
  <c r="C242" i="1"/>
  <c r="B242" i="1"/>
  <c r="C241" i="1"/>
  <c r="B241" i="1"/>
  <c r="C240" i="1"/>
  <c r="B240" i="1"/>
  <c r="C239" i="1"/>
  <c r="B239" i="1"/>
  <c r="C238" i="1"/>
  <c r="B238" i="1"/>
  <c r="C237" i="1"/>
  <c r="B237" i="1"/>
  <c r="C236" i="1"/>
  <c r="B236" i="1"/>
  <c r="C235" i="1"/>
  <c r="B235" i="1"/>
  <c r="C234" i="1"/>
  <c r="B234" i="1"/>
  <c r="C233" i="1"/>
  <c r="B233" i="1"/>
  <c r="C232" i="1"/>
  <c r="B232" i="1"/>
  <c r="C231" i="1"/>
  <c r="B231" i="1"/>
  <c r="C230" i="1"/>
  <c r="B230" i="1"/>
  <c r="C229" i="1"/>
  <c r="B229" i="1"/>
  <c r="C228" i="1"/>
  <c r="B228" i="1"/>
  <c r="C227" i="1"/>
  <c r="B227" i="1"/>
  <c r="C226" i="1"/>
  <c r="B226" i="1"/>
  <c r="C225" i="1"/>
  <c r="B225" i="1"/>
  <c r="C224" i="1"/>
  <c r="B224" i="1"/>
  <c r="C223" i="1"/>
  <c r="B223" i="1"/>
  <c r="C222" i="1"/>
  <c r="B222" i="1"/>
  <c r="C221" i="1"/>
  <c r="B221" i="1"/>
  <c r="C220" i="1"/>
  <c r="B220" i="1"/>
  <c r="C219" i="1"/>
  <c r="B219" i="1"/>
  <c r="C218" i="1"/>
  <c r="B218" i="1"/>
  <c r="C217" i="1"/>
  <c r="B217" i="1"/>
  <c r="C216" i="1"/>
  <c r="B216" i="1"/>
  <c r="C215" i="1"/>
  <c r="B215" i="1"/>
  <c r="C214" i="1"/>
  <c r="B214" i="1"/>
  <c r="C213" i="1"/>
  <c r="B213" i="1"/>
  <c r="C212" i="1"/>
  <c r="B212" i="1"/>
  <c r="C211" i="1"/>
  <c r="B211" i="1"/>
  <c r="C210" i="1"/>
  <c r="B210" i="1"/>
  <c r="C209" i="1"/>
  <c r="B209" i="1"/>
  <c r="C208" i="1"/>
  <c r="B208" i="1"/>
  <c r="C207" i="1"/>
  <c r="B207" i="1"/>
  <c r="C206" i="1"/>
  <c r="B206" i="1"/>
  <c r="C205" i="1"/>
  <c r="B205" i="1"/>
  <c r="C204" i="1"/>
  <c r="B204" i="1"/>
  <c r="C203" i="1"/>
  <c r="B203" i="1"/>
  <c r="C202" i="1"/>
  <c r="B202" i="1"/>
  <c r="C201" i="1"/>
  <c r="B201" i="1"/>
  <c r="C200" i="1"/>
  <c r="B200" i="1"/>
  <c r="C199" i="1"/>
  <c r="B199" i="1"/>
  <c r="C198" i="1"/>
  <c r="B198" i="1"/>
  <c r="C197" i="1"/>
  <c r="B197" i="1"/>
  <c r="C196" i="1"/>
  <c r="B196" i="1"/>
  <c r="C195" i="1"/>
  <c r="B195" i="1"/>
  <c r="C194" i="1"/>
  <c r="B194" i="1"/>
  <c r="C193" i="1"/>
  <c r="B193" i="1"/>
  <c r="C192" i="1"/>
  <c r="B192" i="1"/>
  <c r="C191" i="1"/>
  <c r="B191" i="1"/>
  <c r="C190" i="1"/>
  <c r="B190" i="1"/>
  <c r="C189" i="1"/>
  <c r="B189" i="1"/>
  <c r="C188" i="1"/>
  <c r="B188" i="1"/>
  <c r="C187" i="1"/>
  <c r="B187" i="1"/>
  <c r="C186" i="1"/>
  <c r="B186" i="1"/>
  <c r="C185" i="1"/>
  <c r="B185" i="1"/>
  <c r="C184" i="1"/>
  <c r="B184" i="1"/>
  <c r="C183" i="1"/>
  <c r="B183" i="1"/>
  <c r="C182" i="1"/>
  <c r="B182" i="1"/>
  <c r="C181" i="1"/>
  <c r="B181" i="1"/>
  <c r="C180" i="1"/>
  <c r="B180" i="1"/>
  <c r="C179" i="1"/>
  <c r="B179" i="1"/>
  <c r="C178" i="1"/>
  <c r="B178" i="1"/>
  <c r="C177" i="1"/>
  <c r="B177" i="1"/>
  <c r="C176" i="1"/>
  <c r="B176" i="1"/>
  <c r="C175" i="1"/>
  <c r="B175" i="1"/>
  <c r="C174" i="1"/>
  <c r="B174" i="1"/>
  <c r="C173" i="1"/>
  <c r="B173" i="1"/>
  <c r="C172" i="1"/>
  <c r="B172" i="1"/>
  <c r="C171" i="1"/>
  <c r="B171" i="1"/>
  <c r="C170" i="1"/>
  <c r="B170" i="1"/>
  <c r="C169" i="1"/>
  <c r="B169" i="1"/>
  <c r="C168" i="1"/>
  <c r="B168" i="1"/>
  <c r="C167" i="1"/>
  <c r="B167" i="1"/>
  <c r="C166" i="1"/>
  <c r="B166" i="1"/>
  <c r="C165" i="1"/>
  <c r="B165" i="1"/>
  <c r="C164" i="1"/>
  <c r="B164" i="1"/>
  <c r="C163" i="1"/>
  <c r="B163" i="1"/>
  <c r="C162" i="1"/>
  <c r="B162" i="1"/>
  <c r="C161" i="1"/>
  <c r="B161" i="1"/>
  <c r="C160" i="1"/>
  <c r="B160" i="1"/>
  <c r="C159" i="1"/>
  <c r="B159" i="1"/>
  <c r="C158" i="1"/>
  <c r="B158" i="1"/>
  <c r="C157" i="1"/>
  <c r="B157" i="1"/>
  <c r="C156" i="1"/>
  <c r="B156" i="1"/>
  <c r="C155" i="1"/>
  <c r="B155" i="1"/>
  <c r="C154" i="1"/>
  <c r="B154" i="1"/>
  <c r="C153" i="1"/>
  <c r="B153" i="1"/>
  <c r="C152" i="1"/>
  <c r="B152" i="1"/>
  <c r="C151" i="1"/>
  <c r="B151" i="1"/>
  <c r="C150" i="1"/>
  <c r="B150" i="1"/>
  <c r="C149" i="1"/>
  <c r="B149" i="1"/>
  <c r="C148" i="1"/>
  <c r="B148" i="1"/>
  <c r="C147" i="1"/>
  <c r="B147" i="1"/>
  <c r="C146" i="1"/>
  <c r="B146" i="1"/>
  <c r="C145" i="1"/>
  <c r="B145" i="1"/>
  <c r="C144" i="1"/>
  <c r="B144" i="1"/>
  <c r="C143" i="1"/>
  <c r="B143" i="1"/>
  <c r="C142" i="1"/>
  <c r="B142" i="1"/>
  <c r="C141" i="1"/>
  <c r="B141" i="1"/>
  <c r="C140" i="1"/>
  <c r="B140" i="1"/>
  <c r="C139" i="1"/>
  <c r="B139" i="1"/>
  <c r="C138" i="1"/>
  <c r="B138" i="1"/>
  <c r="C137" i="1"/>
  <c r="B137" i="1"/>
  <c r="C136" i="1"/>
  <c r="B136" i="1"/>
  <c r="C135" i="1"/>
  <c r="B135" i="1"/>
  <c r="C134" i="1"/>
  <c r="B134" i="1"/>
  <c r="C133" i="1"/>
  <c r="B133" i="1"/>
  <c r="C132" i="1"/>
  <c r="B132" i="1"/>
  <c r="C131" i="1"/>
  <c r="B131" i="1"/>
  <c r="C130" i="1"/>
  <c r="B130" i="1"/>
  <c r="C129" i="1"/>
  <c r="B129" i="1"/>
  <c r="C128" i="1"/>
  <c r="B128" i="1"/>
  <c r="C127" i="1"/>
  <c r="B127" i="1"/>
  <c r="C126" i="1"/>
  <c r="B126" i="1"/>
  <c r="C125" i="1"/>
  <c r="B125" i="1"/>
  <c r="C124" i="1"/>
  <c r="B124" i="1"/>
  <c r="C123" i="1"/>
  <c r="B123" i="1"/>
  <c r="C122" i="1"/>
  <c r="B122" i="1"/>
  <c r="C121" i="1"/>
  <c r="B121" i="1"/>
  <c r="C120" i="1"/>
  <c r="B120" i="1"/>
  <c r="C119" i="1"/>
  <c r="B119" i="1"/>
  <c r="C118" i="1"/>
  <c r="B118" i="1"/>
  <c r="C117" i="1"/>
  <c r="B117" i="1"/>
  <c r="C116" i="1"/>
  <c r="B116" i="1"/>
  <c r="C115" i="1"/>
  <c r="B115" i="1"/>
  <c r="C114" i="1"/>
  <c r="B114" i="1"/>
  <c r="C113" i="1"/>
  <c r="B113" i="1"/>
  <c r="C112" i="1"/>
  <c r="B112" i="1"/>
  <c r="C111" i="1"/>
  <c r="B111" i="1"/>
  <c r="C110" i="1"/>
  <c r="B110" i="1"/>
  <c r="C109" i="1"/>
  <c r="B109" i="1"/>
  <c r="C108" i="1"/>
  <c r="B108" i="1"/>
  <c r="C107" i="1"/>
  <c r="B107" i="1"/>
  <c r="C106" i="1"/>
  <c r="B106" i="1"/>
  <c r="C105" i="1"/>
  <c r="B105" i="1"/>
  <c r="C104" i="1"/>
  <c r="B104" i="1"/>
  <c r="C103" i="1"/>
  <c r="B103" i="1"/>
  <c r="C102" i="1"/>
  <c r="B102" i="1"/>
  <c r="C101" i="1"/>
  <c r="B101" i="1"/>
  <c r="C100" i="1"/>
  <c r="B100" i="1"/>
  <c r="C99" i="1"/>
  <c r="B99" i="1"/>
  <c r="C98" i="1"/>
  <c r="B98" i="1"/>
  <c r="C97" i="1"/>
  <c r="B97" i="1"/>
  <c r="C96" i="1"/>
  <c r="B96" i="1"/>
  <c r="C95" i="1"/>
  <c r="B95" i="1"/>
  <c r="C94" i="1"/>
  <c r="B94" i="1"/>
  <c r="C93" i="1"/>
  <c r="B93" i="1"/>
  <c r="C92" i="1"/>
  <c r="B92" i="1"/>
  <c r="C91" i="1"/>
  <c r="B91" i="1"/>
  <c r="C90" i="1"/>
  <c r="B90" i="1"/>
  <c r="C89" i="1"/>
  <c r="B89" i="1"/>
  <c r="C88" i="1"/>
  <c r="B88" i="1"/>
  <c r="C87" i="1"/>
  <c r="B87" i="1"/>
  <c r="C86" i="1"/>
  <c r="B86" i="1"/>
  <c r="C85" i="1"/>
  <c r="B85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C4" i="1"/>
  <c r="B4" i="1"/>
  <c r="C3" i="1"/>
  <c r="B3" i="1"/>
  <c r="C2" i="1"/>
  <c r="B2" i="1"/>
</calcChain>
</file>

<file path=xl/sharedStrings.xml><?xml version="1.0" encoding="utf-8"?>
<sst xmlns="http://schemas.openxmlformats.org/spreadsheetml/2006/main" count="4651" uniqueCount="328">
  <si>
    <t>Sr No.</t>
  </si>
  <si>
    <t>Product</t>
  </si>
  <si>
    <t>Catalog No.</t>
  </si>
  <si>
    <t>CAS No.</t>
  </si>
  <si>
    <t>Inventory Status</t>
  </si>
  <si>
    <t>64605-07-8</t>
  </si>
  <si>
    <t>16543-55-8</t>
  </si>
  <si>
    <t>NA</t>
  </si>
  <si>
    <t>86594-16-3</t>
  </si>
  <si>
    <t>3031851-91-6</t>
  </si>
  <si>
    <t>61601-78-3</t>
  </si>
  <si>
    <t>1341219-46-2</t>
  </si>
  <si>
    <t>1133-64-8</t>
  </si>
  <si>
    <t>71267-22-6</t>
  </si>
  <si>
    <t>73742-56-0</t>
  </si>
  <si>
    <t>61379-66-6</t>
  </si>
  <si>
    <t>In Stock</t>
  </si>
  <si>
    <t>42579-28-2</t>
  </si>
  <si>
    <t>45590-75-8</t>
  </si>
  <si>
    <t>55556-92-8</t>
  </si>
  <si>
    <t>70890-80-1</t>
  </si>
  <si>
    <t>1233340-45-8</t>
  </si>
  <si>
    <t>117782-96-4</t>
  </si>
  <si>
    <t>14340-33-1</t>
  </si>
  <si>
    <t>2819242-71-0</t>
  </si>
  <si>
    <t>6238-69-3</t>
  </si>
  <si>
    <t>140-79-4</t>
  </si>
  <si>
    <t>2892260-30-7</t>
  </si>
  <si>
    <t>36147-29-2</t>
  </si>
  <si>
    <t>77400-46-5</t>
  </si>
  <si>
    <t>6130-93-4</t>
  </si>
  <si>
    <t>2089333-06-0</t>
  </si>
  <si>
    <t>65445-61-6</t>
  </si>
  <si>
    <t>351-09-7</t>
  </si>
  <si>
    <t>16219-99-1</t>
  </si>
  <si>
    <t>Not Available</t>
  </si>
  <si>
    <t>77817-40-4</t>
  </si>
  <si>
    <t>1185503-26-7</t>
  </si>
  <si>
    <t>69239-61-8</t>
  </si>
  <si>
    <t>2731008-04-9</t>
  </si>
  <si>
    <t>2639426-95-0</t>
  </si>
  <si>
    <t>872826-80-7</t>
  </si>
  <si>
    <t>2221987-86-4</t>
  </si>
  <si>
    <t>2355377-45-4</t>
  </si>
  <si>
    <t>2248746-67-8</t>
  </si>
  <si>
    <t>343853-74-7</t>
  </si>
  <si>
    <t>73785-40-7</t>
  </si>
  <si>
    <t>69091-16-3</t>
  </si>
  <si>
    <t>959007-11-5</t>
  </si>
  <si>
    <t>41075-14-3</t>
  </si>
  <si>
    <t>2460755-43-3</t>
  </si>
  <si>
    <t>87375-91-5</t>
  </si>
  <si>
    <t>52322-22-2</t>
  </si>
  <si>
    <t>148950-50-9</t>
  </si>
  <si>
    <t>13256-12-7</t>
  </si>
  <si>
    <t>145438-97-7</t>
  </si>
  <si>
    <t>2792161-95-4</t>
  </si>
  <si>
    <t>55556-94-0</t>
  </si>
  <si>
    <t>6335-97-3</t>
  </si>
  <si>
    <t>2418708-78-6</t>
  </si>
  <si>
    <t>2680527-91-5</t>
  </si>
  <si>
    <t>96806-34-7</t>
  </si>
  <si>
    <t>2763812-26-4</t>
  </si>
  <si>
    <t>2659259-65-9</t>
  </si>
  <si>
    <t>259547-00-7</t>
  </si>
  <si>
    <t>2892260-33-0</t>
  </si>
  <si>
    <t>14300-08-4</t>
  </si>
  <si>
    <t>98556-68-4</t>
  </si>
  <si>
    <t>3192-36-7</t>
  </si>
  <si>
    <t>13980-04-6</t>
  </si>
  <si>
    <t>2639422-25-4</t>
  </si>
  <si>
    <t>2396758-93-1</t>
  </si>
  <si>
    <t>519175-80-5</t>
  </si>
  <si>
    <t>2114-63-8</t>
  </si>
  <si>
    <t>91673-51-7</t>
  </si>
  <si>
    <t>278783-22-5</t>
  </si>
  <si>
    <t>68061-82-5</t>
  </si>
  <si>
    <t>1254360-38-7</t>
  </si>
  <si>
    <t>148950-49-6</t>
  </si>
  <si>
    <t>145438-96-6</t>
  </si>
  <si>
    <t>5632-47-3</t>
  </si>
  <si>
    <t>500545-48-2</t>
  </si>
  <si>
    <t>92917-44-7</t>
  </si>
  <si>
    <t>53602-74-7</t>
  </si>
  <si>
    <t>80-11-5</t>
  </si>
  <si>
    <t>7417-67-6</t>
  </si>
  <si>
    <t>937-24-6</t>
  </si>
  <si>
    <t>16339-07-4</t>
  </si>
  <si>
    <t>2514773-56-7</t>
  </si>
  <si>
    <t>678982-38-2</t>
  </si>
  <si>
    <t>887407-16-1</t>
  </si>
  <si>
    <t>36966-84-4</t>
  </si>
  <si>
    <t>2492451-27-9</t>
  </si>
  <si>
    <t>134720-04-0</t>
  </si>
  <si>
    <t>55855-45-3</t>
  </si>
  <si>
    <t>208176-48-1</t>
  </si>
  <si>
    <t>56859-26-8</t>
  </si>
  <si>
    <t>67856-68-2</t>
  </si>
  <si>
    <t>2761668-93-1</t>
  </si>
  <si>
    <t>877177-42-9</t>
  </si>
  <si>
    <t>2490432-02-3</t>
  </si>
  <si>
    <t>2763780-10-3</t>
  </si>
  <si>
    <t>38652-29-8</t>
  </si>
  <si>
    <t>7458-08-4</t>
  </si>
  <si>
    <t>2788-23-0</t>
  </si>
  <si>
    <t>51715-17-4</t>
  </si>
  <si>
    <t>1053740-92-3</t>
  </si>
  <si>
    <t>1698-25-5</t>
  </si>
  <si>
    <t>864443-44-7</t>
  </si>
  <si>
    <t>78213-40-8</t>
  </si>
  <si>
    <t>156632-03-0</t>
  </si>
  <si>
    <t>77774-24-4</t>
  </si>
  <si>
    <t>70365-40-1</t>
  </si>
  <si>
    <t>19634-60-7</t>
  </si>
  <si>
    <t>2892260-29-4</t>
  </si>
  <si>
    <t>57164-17-7</t>
  </si>
  <si>
    <t>1246819-22-6</t>
  </si>
  <si>
    <t>2733579-31-0</t>
  </si>
  <si>
    <t>55855-44-2</t>
  </si>
  <si>
    <t>3017268-48-0</t>
  </si>
  <si>
    <t>28698-93-3</t>
  </si>
  <si>
    <t>28698-94-4</t>
  </si>
  <si>
    <t>94511-44-1</t>
  </si>
  <si>
    <t>1216985-81-7</t>
  </si>
  <si>
    <t>16338-97-9</t>
  </si>
  <si>
    <t>51145-18-7</t>
  </si>
  <si>
    <t>66505-80-4</t>
  </si>
  <si>
    <t>69112-95-4</t>
  </si>
  <si>
    <t>55855-43-1</t>
  </si>
  <si>
    <t>37137-26-1</t>
  </si>
  <si>
    <t>42952-91-0</t>
  </si>
  <si>
    <t>7181-48-8</t>
  </si>
  <si>
    <t>1850-61-9</t>
  </si>
  <si>
    <t>78213-39-5</t>
  </si>
  <si>
    <t>13256-15-0</t>
  </si>
  <si>
    <t>862542-34-5</t>
  </si>
  <si>
    <t>78658-62-5</t>
  </si>
  <si>
    <t>2901109-58-6</t>
  </si>
  <si>
    <t>26360-21-4</t>
  </si>
  <si>
    <t>29291-35-8</t>
  </si>
  <si>
    <t>856068-98-9</t>
  </si>
  <si>
    <t>63779-86-2</t>
  </si>
  <si>
    <t>2005-04-1</t>
  </si>
  <si>
    <t>2380680-64-6</t>
  </si>
  <si>
    <t>2816369-80-7</t>
  </si>
  <si>
    <t>75051-59-1</t>
  </si>
  <si>
    <t>86144-35-6</t>
  </si>
  <si>
    <t>151512-14-0</t>
  </si>
  <si>
    <t>2820170-74-7</t>
  </si>
  <si>
    <t>78814-91-2</t>
  </si>
  <si>
    <t>1152314-62-9</t>
  </si>
  <si>
    <t>3031851-92-7</t>
  </si>
  <si>
    <t>37015-96-6</t>
  </si>
  <si>
    <t>24215-20-1</t>
  </si>
  <si>
    <t>73829-38-6</t>
  </si>
  <si>
    <t>86022-93-7</t>
  </si>
  <si>
    <t>684-93-5</t>
  </si>
  <si>
    <t>55557-03-4</t>
  </si>
  <si>
    <t>138768-62-4</t>
  </si>
  <si>
    <t>59469-02-2</t>
  </si>
  <si>
    <t>3017159-61-1</t>
  </si>
  <si>
    <t>3032026-54-0</t>
  </si>
  <si>
    <t>1026879-47-9</t>
  </si>
  <si>
    <t>Not available</t>
  </si>
  <si>
    <t>871884-77-4</t>
  </si>
  <si>
    <t>2135905-86-9</t>
  </si>
  <si>
    <t>55855-49-7</t>
  </si>
  <si>
    <t>122021-01-6</t>
  </si>
  <si>
    <t>252575-85-2</t>
  </si>
  <si>
    <t>2680539-26-6</t>
  </si>
  <si>
    <t>24642-83-9</t>
  </si>
  <si>
    <t>1216880-64-6</t>
  </si>
  <si>
    <t>74011-53-3</t>
  </si>
  <si>
    <t>55855-42-0</t>
  </si>
  <si>
    <t>2416230-38-9</t>
  </si>
  <si>
    <t>88205-32-7</t>
  </si>
  <si>
    <t>146897-60-1</t>
  </si>
  <si>
    <t>938-81-8</t>
  </si>
  <si>
    <t>2361294-43-9</t>
  </si>
  <si>
    <t>68897-50-7</t>
  </si>
  <si>
    <t>13458-16-7</t>
  </si>
  <si>
    <t>144464-30-2</t>
  </si>
  <si>
    <t>497930-24-2</t>
  </si>
  <si>
    <t>78658-64-7</t>
  </si>
  <si>
    <t>614-01-7</t>
  </si>
  <si>
    <t>32863-63-1</t>
  </si>
  <si>
    <t>100-75-4</t>
  </si>
  <si>
    <t>54634-49-0</t>
  </si>
  <si>
    <t>2512237-43-1</t>
  </si>
  <si>
    <t>36144-72-6</t>
  </si>
  <si>
    <t>84418-35-9</t>
  </si>
  <si>
    <t>1850-88-0</t>
  </si>
  <si>
    <t>1233340-43-6</t>
  </si>
  <si>
    <t>930-55-2</t>
  </si>
  <si>
    <t>73486-81-4</t>
  </si>
  <si>
    <t>17608-59-2</t>
  </si>
  <si>
    <t>67659-30-7</t>
  </si>
  <si>
    <t>3035190-56-5</t>
  </si>
  <si>
    <t>2657645-00-4</t>
  </si>
  <si>
    <t>2892260-32-9</t>
  </si>
  <si>
    <t>2892260-31-8</t>
  </si>
  <si>
    <t>2615274-45-6</t>
  </si>
  <si>
    <t>2470438-57-2</t>
  </si>
  <si>
    <t>296760-88-8</t>
  </si>
  <si>
    <t>2504-18-9</t>
  </si>
  <si>
    <t>111348-65-3</t>
  </si>
  <si>
    <t>88381-44-6</t>
  </si>
  <si>
    <t>20002-25-9</t>
  </si>
  <si>
    <t>2219339-13-4</t>
  </si>
  <si>
    <t>1330180-56-7</t>
  </si>
  <si>
    <t>13256-23-0</t>
  </si>
  <si>
    <t>68807-89-6</t>
  </si>
  <si>
    <t>2254485-68-0</t>
  </si>
  <si>
    <t>2680662-11-5</t>
  </si>
  <si>
    <t>2512217-82-0</t>
  </si>
  <si>
    <t>2925447-38-5</t>
  </si>
  <si>
    <t>14026-03-0</t>
  </si>
  <si>
    <t>2826147-23-1</t>
  </si>
  <si>
    <t>55556-93-9</t>
  </si>
  <si>
    <t>55556-91-7</t>
  </si>
  <si>
    <t>32635-81-7</t>
  </si>
  <si>
    <t>2820170-76-9</t>
  </si>
  <si>
    <t>4515-18-8</t>
  </si>
  <si>
    <t>2763751-66-0</t>
  </si>
  <si>
    <t>2975202-09-4</t>
  </si>
  <si>
    <t>63819-70-5</t>
  </si>
  <si>
    <t>16602-86-1</t>
  </si>
  <si>
    <t>150494-06-7</t>
  </si>
  <si>
    <t>145369-38-6</t>
  </si>
  <si>
    <t>30310-80-6</t>
  </si>
  <si>
    <t>204268-61-1</t>
  </si>
  <si>
    <t>10356-92-0</t>
  </si>
  <si>
    <t>56516-72-4</t>
  </si>
  <si>
    <t>1028-91-7</t>
  </si>
  <si>
    <t>65504-33-8</t>
  </si>
  <si>
    <t>612-64-6</t>
  </si>
  <si>
    <t>1215691-18-1</t>
  </si>
  <si>
    <t>61445-55-4</t>
  </si>
  <si>
    <t>1184996-41-5</t>
  </si>
  <si>
    <t>55090-44-3</t>
  </si>
  <si>
    <t>75881-20-8</t>
  </si>
  <si>
    <t>16339-12-1</t>
  </si>
  <si>
    <t>1821341-18-7</t>
  </si>
  <si>
    <t>5432-28-0</t>
  </si>
  <si>
    <t>1391051-68-5</t>
  </si>
  <si>
    <t>3028194-78-4</t>
  </si>
  <si>
    <t>2470278-90-9</t>
  </si>
  <si>
    <t>134720-07-3</t>
  </si>
  <si>
    <t>73870-33-4</t>
  </si>
  <si>
    <t>155386-25-7</t>
  </si>
  <si>
    <t>53609-64-6</t>
  </si>
  <si>
    <t>2975202-11-8</t>
  </si>
  <si>
    <t>5336-53-8</t>
  </si>
  <si>
    <t>20002-23-7</t>
  </si>
  <si>
    <t>924-16-3</t>
  </si>
  <si>
    <t>947-92-2</t>
  </si>
  <si>
    <t>55-18-5</t>
  </si>
  <si>
    <t>997-95-5</t>
  </si>
  <si>
    <t>1207995-62-7</t>
  </si>
  <si>
    <t>601-77-4</t>
  </si>
  <si>
    <t>62-75-9</t>
  </si>
  <si>
    <t>86-30-6</t>
  </si>
  <si>
    <t>621-64-7</t>
  </si>
  <si>
    <t>93951-96-3</t>
  </si>
  <si>
    <t>16339-04-1</t>
  </si>
  <si>
    <t>10595-95-6</t>
  </si>
  <si>
    <t>69278-54-2</t>
  </si>
  <si>
    <t>932-83-2</t>
  </si>
  <si>
    <t>25081-31-6</t>
  </si>
  <si>
    <t>7633-57-0</t>
  </si>
  <si>
    <t>64768-29-2</t>
  </si>
  <si>
    <t>1219805-76-1</t>
  </si>
  <si>
    <t>61578-30-1</t>
  </si>
  <si>
    <t>960049-21-2</t>
  </si>
  <si>
    <t>99389-11-4</t>
  </si>
  <si>
    <t>1219802-09-1</t>
  </si>
  <si>
    <t>6943-40-4</t>
  </si>
  <si>
    <t>70-25-7</t>
  </si>
  <si>
    <t>75195-76-5</t>
  </si>
  <si>
    <t>41286-73-1</t>
  </si>
  <si>
    <t>23351-96-4</t>
  </si>
  <si>
    <t>64091-91-4</t>
  </si>
  <si>
    <t>2925306-68-7</t>
  </si>
  <si>
    <t>2490403-92-2</t>
  </si>
  <si>
    <t>2768787-11-5</t>
  </si>
  <si>
    <t>614-00-6</t>
  </si>
  <si>
    <t>48121-20-6</t>
  </si>
  <si>
    <t>885-11-0</t>
  </si>
  <si>
    <t>1173019-53-8</t>
  </si>
  <si>
    <t>674-81-7</t>
  </si>
  <si>
    <t>80508-23-2</t>
  </si>
  <si>
    <t>2742659-74-9</t>
  </si>
  <si>
    <t>287118-45-0</t>
  </si>
  <si>
    <t>2955712-44-2</t>
  </si>
  <si>
    <t>2089333-12-8</t>
  </si>
  <si>
    <t>115822-46-3</t>
  </si>
  <si>
    <t>211490-46-9</t>
  </si>
  <si>
    <t>2101854-40-2</t>
  </si>
  <si>
    <t>3035190-53-2</t>
  </si>
  <si>
    <t>185847-75-0</t>
  </si>
  <si>
    <t>25413-76-7</t>
  </si>
  <si>
    <t>20689-96-7</t>
  </si>
  <si>
    <t>364745-13-1</t>
  </si>
  <si>
    <t>937-40-6</t>
  </si>
  <si>
    <t>67776-06-1</t>
  </si>
  <si>
    <t>2919946-71-5</t>
  </si>
  <si>
    <t>1355024-07-5</t>
  </si>
  <si>
    <t>131549-85-4</t>
  </si>
  <si>
    <t>2817316-41-7</t>
  </si>
  <si>
    <t>120314-14-9</t>
  </si>
  <si>
    <t>2219339-64-5</t>
  </si>
  <si>
    <t>2407652-86-0</t>
  </si>
  <si>
    <t>2755871-02-2</t>
  </si>
  <si>
    <t>2803960-64-5</t>
  </si>
  <si>
    <t>2803960-63-4</t>
  </si>
  <si>
    <t>1000399-11-0</t>
  </si>
  <si>
    <t>79108-51-3</t>
  </si>
  <si>
    <t>35909-01-4</t>
  </si>
  <si>
    <t>7519-36-0</t>
  </si>
  <si>
    <t>2932441-73-9</t>
  </si>
  <si>
    <t>339362-86-6</t>
  </si>
  <si>
    <t>Custom Synthesis</t>
  </si>
  <si>
    <t>Discontinued</t>
  </si>
  <si>
    <t>Under Synthesis</t>
  </si>
  <si>
    <t>Limited Stock</t>
  </si>
  <si>
    <t>Out of Stock</t>
  </si>
  <si>
    <t>Out of Stock, Under Synthesis</t>
  </si>
  <si>
    <t>In Stock, 3-4 days for Dispatch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</si>
</sst>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rgb="FF000000"/>
      <name val="Calibri"/>
    </font>
    <font>
      <b/>
      <sz val="9"/>
      <color rgb="FFFFFFFF"/>
      <name val="Calibri"/>
      <family val="2"/>
    </font>
    <font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F487C"/>
      </patternFill>
    </fill>
    <fill>
      <patternFill patternType="solid">
        <fgColor rgb="FFF1F1F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0" fillId="0" borderId="1" xfId="0" applyBorder="1"/>
    <xf numFmtId="0" fontId="2" fillId="0" borderId="1" xfId="0" applyFont="1" applyBorder="1" applyAlignment="1">
      <alignment horizontal="left" vertical="top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90"/>
  <sheetViews>
    <sheetView tabSelected="1" workbookViewId="0">
      <selection activeCell="I7" sqref="I7"/>
    </sheetView>
  </sheetViews>
  <sheetFormatPr defaultRowHeight="15.75" x14ac:dyDescent="0.25"/>
  <cols>
    <col min="1" max="1" width="9" style="4"/>
    <col min="2" max="2" width="48.125" style="4" customWidth="1"/>
    <col min="3" max="3" width="11.125" style="4" bestFit="1" customWidth="1"/>
    <col min="4" max="4" width="12.125" style="4" bestFit="1" customWidth="1"/>
    <col min="5" max="5" width="22" style="4" customWidth="1"/>
  </cols>
  <sheetData>
    <row r="1" spans="1: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3">
        <v>1</v>
      </c>
      <c r="B2" s="3" t="str">
        <f>HYPERLINK("https://www.kmpharma.in/product/22922","(1-Nitrosopiperidin-2-yl)methanol")</f>
        <v>(1-Nitrosopiperidin-2-yl)methanol</v>
      </c>
      <c r="C2" s="3" t="str">
        <f>HYPERLINK("https://www.kmpharma.in/product/22922","KMN084001")</f>
        <v>KMN084001</v>
      </c>
      <c r="D2" s="3" t="s">
        <v>5</v>
      </c>
      <c r="E2" s="5" t="s">
        <v>321</v>
      </c>
    </row>
    <row r="3" spans="1:5" x14ac:dyDescent="0.25">
      <c r="A3" s="6">
        <v>2</v>
      </c>
      <c r="B3" s="6" t="str">
        <f>HYPERLINK("https://www.kmpharma.in/product/22449","(2S)-N’-Nitrosonornicotine")</f>
        <v>(2S)-N’-Nitrosonornicotine</v>
      </c>
      <c r="C3" s="6" t="str">
        <f>HYPERLINK("https://www.kmpharma.in/product/22449","KMN061001")</f>
        <v>KMN061001</v>
      </c>
      <c r="D3" s="6" t="s">
        <v>6</v>
      </c>
      <c r="E3" s="7" t="s">
        <v>321</v>
      </c>
    </row>
    <row r="4" spans="1:5" x14ac:dyDescent="0.25">
      <c r="A4" s="3">
        <v>3</v>
      </c>
      <c r="B4" s="3" t="str">
        <f>HYPERLINK("https://www.kmpharma.in/product/35561","(3S,5S,6S)-Bupropion Nitroso Impurity")</f>
        <v>(3S,5S,6S)-Bupropion Nitroso Impurity</v>
      </c>
      <c r="C4" s="3" t="str">
        <f>HYPERLINK("https://www.kmpharma.in/product/35561","KMB003005")</f>
        <v>KMB003005</v>
      </c>
      <c r="D4" s="3" t="s">
        <v>7</v>
      </c>
      <c r="E4" s="5" t="s">
        <v>321</v>
      </c>
    </row>
    <row r="5" spans="1:5" x14ac:dyDescent="0.25">
      <c r="A5" s="6">
        <v>4</v>
      </c>
      <c r="B5" s="6" t="str">
        <f>HYPERLINK("https://www.kmpharma.in/product/22980","(4R)-N-Nitroso Thiazolidine-4-carboxylic Acid")</f>
        <v>(4R)-N-Nitroso Thiazolidine-4-carboxylic Acid</v>
      </c>
      <c r="C5" s="6" t="str">
        <f>HYPERLINK("https://www.kmpharma.in/product/22980","KMN084002")</f>
        <v>KMN084002</v>
      </c>
      <c r="D5" s="6" t="s">
        <v>8</v>
      </c>
      <c r="E5" s="6" t="s">
        <v>16</v>
      </c>
    </row>
    <row r="6" spans="1:5" x14ac:dyDescent="0.25">
      <c r="A6" s="3">
        <v>5</v>
      </c>
      <c r="B6" s="3" t="str">
        <f>HYPERLINK("https://www.kmpharma.in/product/11447","(R,R)-Eluxadoline Nitroso Impurity")</f>
        <v>(R,R)-Eluxadoline Nitroso Impurity</v>
      </c>
      <c r="C6" s="3" t="str">
        <f>HYPERLINK("https://www.kmpharma.in/product/11447","KME045002")</f>
        <v>KME045002</v>
      </c>
      <c r="D6" s="3" t="s">
        <v>7</v>
      </c>
      <c r="E6" s="5" t="s">
        <v>321</v>
      </c>
    </row>
    <row r="7" spans="1:5" x14ac:dyDescent="0.25">
      <c r="A7" s="6">
        <v>6</v>
      </c>
      <c r="B7" s="6" t="str">
        <f>HYPERLINK("https://www.kmpharma.in/product/22451","(R,S)-N-Nitroso Anabasine")</f>
        <v>(R,S)-N-Nitroso Anabasine</v>
      </c>
      <c r="C7" s="6" t="str">
        <f>HYPERLINK("https://www.kmpharma.in/product/22451","KMN061002")</f>
        <v>KMN061002</v>
      </c>
      <c r="D7" s="6" t="s">
        <v>7</v>
      </c>
      <c r="E7" s="7" t="s">
        <v>321</v>
      </c>
    </row>
    <row r="8" spans="1:5" x14ac:dyDescent="0.25">
      <c r="A8" s="3">
        <v>7</v>
      </c>
      <c r="B8" s="3" t="str">
        <f>HYPERLINK("https://www.kmpharma.in/product/1390","(R)-1-nitrosopiperidin-3-amine")</f>
        <v>(R)-1-nitrosopiperidin-3-amine</v>
      </c>
      <c r="C8" s="3" t="str">
        <f>HYPERLINK("https://www.kmpharma.in/product/1390","KMA028001")</f>
        <v>KMA028001</v>
      </c>
      <c r="D8" s="3" t="s">
        <v>9</v>
      </c>
      <c r="E8" s="3" t="s">
        <v>16</v>
      </c>
    </row>
    <row r="9" spans="1:5" x14ac:dyDescent="0.25">
      <c r="A9" s="6">
        <v>8</v>
      </c>
      <c r="B9" s="6" t="str">
        <f>HYPERLINK("https://www.kmpharma.in/product/34048","(R)-Desisopropyl Tolterodine Nitroso Impurity")</f>
        <v>(R)-Desisopropyl Tolterodine Nitroso Impurity</v>
      </c>
      <c r="C9" s="6" t="str">
        <f>HYPERLINK("https://www.kmpharma.in/product/34048","KMT146002")</f>
        <v>KMT146002</v>
      </c>
      <c r="D9" s="6" t="s">
        <v>7</v>
      </c>
      <c r="E9" s="7" t="s">
        <v>321</v>
      </c>
    </row>
    <row r="10" spans="1:5" x14ac:dyDescent="0.25">
      <c r="A10" s="3">
        <v>9</v>
      </c>
      <c r="B10" s="3" t="str">
        <f>HYPERLINK("https://www.kmpharma.in/product/12257","(R)-Desmethyl Citalopram Nitroso Impurity")</f>
        <v>(R)-Desmethyl Citalopram Nitroso Impurity</v>
      </c>
      <c r="C10" s="3" t="str">
        <f>HYPERLINK("https://www.kmpharma.in/product/12257","KME004002")</f>
        <v>KME004002</v>
      </c>
      <c r="D10" s="3" t="s">
        <v>7</v>
      </c>
      <c r="E10" s="5" t="s">
        <v>321</v>
      </c>
    </row>
    <row r="11" spans="1:5" x14ac:dyDescent="0.25">
      <c r="A11" s="6">
        <v>10</v>
      </c>
      <c r="B11" s="6" t="str">
        <f>HYPERLINK("https://www.kmpharma.in/product/22450","(R)-N′-Nitrosonornicotine ")</f>
        <v>(R)-N′-Nitrosonornicotine </v>
      </c>
      <c r="C11" s="6" t="str">
        <f>HYPERLINK("https://www.kmpharma.in/product/22450","KMN061004")</f>
        <v>KMN061004</v>
      </c>
      <c r="D11" s="6" t="s">
        <v>10</v>
      </c>
      <c r="E11" s="7" t="s">
        <v>321</v>
      </c>
    </row>
    <row r="12" spans="1:5" x14ac:dyDescent="0.25">
      <c r="A12" s="3">
        <v>11</v>
      </c>
      <c r="B12" s="3" t="str">
        <f>HYPERLINK("https://www.kmpharma.in/product/22981","(S)-1-Nitrosopyrrolidin-3-ol")</f>
        <v>(S)-1-Nitrosopyrrolidin-3-ol</v>
      </c>
      <c r="C12" s="3" t="str">
        <f>HYPERLINK("https://www.kmpharma.in/product/22981","KMN084003")</f>
        <v>KMN084003</v>
      </c>
      <c r="D12" s="3" t="s">
        <v>11</v>
      </c>
      <c r="E12" s="5" t="s">
        <v>322</v>
      </c>
    </row>
    <row r="13" spans="1:5" x14ac:dyDescent="0.25">
      <c r="A13" s="6">
        <v>12</v>
      </c>
      <c r="B13" s="6" t="str">
        <f>HYPERLINK("https://www.kmpharma.in/product/22452","(S)-N-Nitroso Anabasine")</f>
        <v>(S)-N-Nitroso Anabasine</v>
      </c>
      <c r="C13" s="6" t="str">
        <f>HYPERLINK("https://www.kmpharma.in/product/22452","KMN061006")</f>
        <v>KMN061006</v>
      </c>
      <c r="D13" s="6" t="s">
        <v>12</v>
      </c>
      <c r="E13" s="7" t="s">
        <v>321</v>
      </c>
    </row>
    <row r="14" spans="1:5" x14ac:dyDescent="0.25">
      <c r="A14" s="3">
        <v>13</v>
      </c>
      <c r="B14" s="3" t="str">
        <f>HYPERLINK("https://www.kmpharma.in/product/22453","(S)-N-Nitroso Anatabine")</f>
        <v>(S)-N-Nitroso Anatabine</v>
      </c>
      <c r="C14" s="3" t="str">
        <f>HYPERLINK("https://www.kmpharma.in/product/22453","KMN061007")</f>
        <v>KMN061007</v>
      </c>
      <c r="D14" s="3" t="s">
        <v>13</v>
      </c>
      <c r="E14" s="3" t="s">
        <v>16</v>
      </c>
    </row>
    <row r="15" spans="1:5" x14ac:dyDescent="0.25">
      <c r="A15" s="6">
        <v>14</v>
      </c>
      <c r="B15" s="6" t="str">
        <f>HYPERLINK("https://www.kmpharma.in/product/23053","1-(Cyclopropylmethyl)-4-nitrosopiperazine")</f>
        <v>1-(Cyclopropylmethyl)-4-nitrosopiperazine</v>
      </c>
      <c r="C15" s="6" t="str">
        <f>HYPERLINK("https://www.kmpharma.in/product/23053","KMN084004")</f>
        <v>KMN084004</v>
      </c>
      <c r="D15" s="6" t="s">
        <v>7</v>
      </c>
      <c r="E15" s="7" t="s">
        <v>321</v>
      </c>
    </row>
    <row r="16" spans="1:5" x14ac:dyDescent="0.25">
      <c r="A16" s="3">
        <v>15</v>
      </c>
      <c r="B16" s="3" t="str">
        <f>HYPERLINK("https://www.kmpharma.in/product/23054","1-Acetyl-4-nitrosopiperazine")</f>
        <v>1-Acetyl-4-nitrosopiperazine</v>
      </c>
      <c r="C16" s="3" t="str">
        <f>HYPERLINK("https://www.kmpharma.in/product/23054","KMN084005")</f>
        <v>KMN084005</v>
      </c>
      <c r="D16" s="3" t="s">
        <v>14</v>
      </c>
      <c r="E16" s="5" t="s">
        <v>321</v>
      </c>
    </row>
    <row r="17" spans="1:5" x14ac:dyDescent="0.25">
      <c r="A17" s="6">
        <v>16</v>
      </c>
      <c r="B17" s="6" t="str">
        <f>HYPERLINK("https://www.kmpharma.in/product/187","1-Cyclopentyl-4-nitrosopiperazine")</f>
        <v>1-Cyclopentyl-4-nitrosopiperazine</v>
      </c>
      <c r="C17" s="6" t="str">
        <f>HYPERLINK("https://www.kmpharma.in/product/187","KMN001005")</f>
        <v>KMN001005</v>
      </c>
      <c r="D17" s="6" t="s">
        <v>15</v>
      </c>
      <c r="E17" s="7" t="s">
        <v>323</v>
      </c>
    </row>
    <row r="18" spans="1:5" x14ac:dyDescent="0.25">
      <c r="A18" s="3">
        <v>17</v>
      </c>
      <c r="B18" s="3" t="str">
        <f>HYPERLINK("https://www.kmpharma.in/product/22923","1-Cyclopentyl-4-nitrosopiperazine")</f>
        <v>1-Cyclopentyl-4-nitrosopiperazine</v>
      </c>
      <c r="C18" s="3" t="str">
        <f>HYPERLINK("https://www.kmpharma.in/product/22923","KMN084006")</f>
        <v>KMN084006</v>
      </c>
      <c r="D18" s="3" t="s">
        <v>15</v>
      </c>
      <c r="E18" s="5" t="s">
        <v>321</v>
      </c>
    </row>
    <row r="19" spans="1:5" x14ac:dyDescent="0.25">
      <c r="A19" s="6">
        <v>18</v>
      </c>
      <c r="B19" s="6" t="str">
        <f>HYPERLINK("https://www.kmpharma.in/product/23058","1-Nitroso Hydantoin")</f>
        <v>1-Nitroso Hydantoin</v>
      </c>
      <c r="C19" s="6" t="str">
        <f>HYPERLINK("https://www.kmpharma.in/product/23058","KMN084007")</f>
        <v>KMN084007</v>
      </c>
      <c r="D19" s="6" t="s">
        <v>17</v>
      </c>
      <c r="E19" s="7" t="s">
        <v>321</v>
      </c>
    </row>
    <row r="20" spans="1:5" x14ac:dyDescent="0.25">
      <c r="A20" s="3">
        <v>19</v>
      </c>
      <c r="B20" s="3" t="str">
        <f>HYPERLINK("https://www.kmpharma.in/product/6660","1-Nitroso Pyridinium")</f>
        <v>1-Nitroso Pyridinium</v>
      </c>
      <c r="C20" s="3" t="str">
        <f>HYPERLINK("https://www.kmpharma.in/product/6660","KMC116001")</f>
        <v>KMC116001</v>
      </c>
      <c r="D20" s="3" t="s">
        <v>18</v>
      </c>
      <c r="E20" s="5" t="s">
        <v>321</v>
      </c>
    </row>
    <row r="21" spans="1:5" x14ac:dyDescent="0.25">
      <c r="A21" s="6">
        <v>20</v>
      </c>
      <c r="B21" s="6" t="str">
        <f>HYPERLINK("https://www.kmpharma.in/product/22924","1-Nitroso-1,2,3,6-tetrahydropyridine")</f>
        <v>1-Nitroso-1,2,3,6-tetrahydropyridine</v>
      </c>
      <c r="C21" s="6" t="str">
        <f>HYPERLINK("https://www.kmpharma.in/product/22924","KMN084008")</f>
        <v>KMN084008</v>
      </c>
      <c r="D21" s="6" t="s">
        <v>19</v>
      </c>
      <c r="E21" s="6" t="s">
        <v>16</v>
      </c>
    </row>
    <row r="22" spans="1:5" x14ac:dyDescent="0.25">
      <c r="A22" s="3">
        <v>21</v>
      </c>
      <c r="B22" s="3" t="str">
        <f>HYPERLINK("https://www.kmpharma.in/product/22979","1-Nitroso-1,2,4-Triazole")</f>
        <v>1-Nitroso-1,2,4-Triazole</v>
      </c>
      <c r="C22" s="3" t="str">
        <f>HYPERLINK("https://www.kmpharma.in/product/22979","KMN084009")</f>
        <v>KMN084009</v>
      </c>
      <c r="D22" s="3" t="s">
        <v>20</v>
      </c>
      <c r="E22" s="5" t="s">
        <v>323</v>
      </c>
    </row>
    <row r="23" spans="1:5" x14ac:dyDescent="0.25">
      <c r="A23" s="6">
        <v>22</v>
      </c>
      <c r="B23" s="6" t="str">
        <f>HYPERLINK("https://www.kmpharma.in/product/22986","1-Nitroso-1,4,7,10-tetraazacyclododecane")</f>
        <v>1-Nitroso-1,4,7,10-tetraazacyclododecane</v>
      </c>
      <c r="C23" s="6" t="str">
        <f>HYPERLINK("https://www.kmpharma.in/product/22986","KMN084010")</f>
        <v>KMN084010</v>
      </c>
      <c r="D23" s="6" t="s">
        <v>7</v>
      </c>
      <c r="E23" s="6" t="s">
        <v>16</v>
      </c>
    </row>
    <row r="24" spans="1:5" x14ac:dyDescent="0.25">
      <c r="A24" s="3">
        <v>23</v>
      </c>
      <c r="B24" s="3" t="str">
        <f>HYPERLINK("https://www.kmpharma.in/product/23059","1-Nitroso-1H-1,2,4-triazol-3-amine")</f>
        <v>1-Nitroso-1H-1,2,4-triazol-3-amine</v>
      </c>
      <c r="C24" s="3" t="str">
        <f>HYPERLINK("https://www.kmpharma.in/product/23059","KMN084011")</f>
        <v>KMN084011</v>
      </c>
      <c r="D24" s="3" t="s">
        <v>7</v>
      </c>
      <c r="E24" s="5" t="s">
        <v>323</v>
      </c>
    </row>
    <row r="25" spans="1:5" x14ac:dyDescent="0.25">
      <c r="A25" s="6">
        <v>24</v>
      </c>
      <c r="B25" s="6" t="str">
        <f>HYPERLINK("https://www.kmpharma.in/product/23060","1-Nitroso-1H-Imidazole")</f>
        <v>1-Nitroso-1H-Imidazole</v>
      </c>
      <c r="C25" s="6" t="str">
        <f>HYPERLINK("https://www.kmpharma.in/product/23060","KMN084012")</f>
        <v>KMN084012</v>
      </c>
      <c r="D25" s="6" t="s">
        <v>21</v>
      </c>
      <c r="E25" s="7" t="s">
        <v>323</v>
      </c>
    </row>
    <row r="26" spans="1:5" x14ac:dyDescent="0.25">
      <c r="A26" s="3">
        <v>25</v>
      </c>
      <c r="B26" s="3" t="str">
        <f>HYPERLINK("https://www.kmpharma.in/product/38572","1-Nitroso-1H-indole")</f>
        <v>1-Nitroso-1H-indole</v>
      </c>
      <c r="C26" s="3" t="str">
        <f>HYPERLINK("https://www.kmpharma.in/product/38572","KMV033001")</f>
        <v>KMV033001</v>
      </c>
      <c r="D26" s="3" t="s">
        <v>22</v>
      </c>
      <c r="E26" s="5" t="s">
        <v>323</v>
      </c>
    </row>
    <row r="27" spans="1:5" x14ac:dyDescent="0.25">
      <c r="A27" s="6">
        <v>26</v>
      </c>
      <c r="B27" s="6" t="str">
        <f>HYPERLINK("https://www.kmpharma.in/product/18345","1-Nitroso-4-phenylpiperazine")</f>
        <v>1-Nitroso-4-phenylpiperazine</v>
      </c>
      <c r="C27" s="6" t="str">
        <f>HYPERLINK("https://www.kmpharma.in/product/18345","KML067002")</f>
        <v>KML067002</v>
      </c>
      <c r="D27" s="6" t="s">
        <v>23</v>
      </c>
      <c r="E27" s="7" t="s">
        <v>323</v>
      </c>
    </row>
    <row r="28" spans="1:5" x14ac:dyDescent="0.25">
      <c r="A28" s="3">
        <v>27</v>
      </c>
      <c r="B28" s="3" t="str">
        <f>HYPERLINK("https://www.kmpharma.in/product/22987","1-Nitroso-4,5,6,7-tetrahydro-1H-pyrrolo[3,2-b]pyridine")</f>
        <v>1-Nitroso-4,5,6,7-tetrahydro-1H-pyrrolo[3,2-b]pyridine</v>
      </c>
      <c r="C28" s="3" t="str">
        <f>HYPERLINK("https://www.kmpharma.in/product/22987","KMN084013")</f>
        <v>KMN084013</v>
      </c>
      <c r="D28" s="3" t="s">
        <v>7</v>
      </c>
      <c r="E28" s="5" t="s">
        <v>323</v>
      </c>
    </row>
    <row r="29" spans="1:5" x14ac:dyDescent="0.25">
      <c r="A29" s="6">
        <v>28</v>
      </c>
      <c r="B29" s="6" t="str">
        <f>HYPERLINK("https://www.kmpharma.in/product/22978","1-Nitrosopiperidin-3-amine")</f>
        <v>1-Nitrosopiperidin-3-amine</v>
      </c>
      <c r="C29" s="6" t="str">
        <f>HYPERLINK("https://www.kmpharma.in/product/22978","KMN084014")</f>
        <v>KMN084014</v>
      </c>
      <c r="D29" s="6" t="s">
        <v>24</v>
      </c>
      <c r="E29" s="6" t="s">
        <v>16</v>
      </c>
    </row>
    <row r="30" spans="1:5" x14ac:dyDescent="0.25">
      <c r="A30" s="3">
        <v>29</v>
      </c>
      <c r="B30" s="3" t="str">
        <f>HYPERLINK("https://www.kmpharma.in/product/22925","1-Nitrosopiperidin-3-amine (TFA salt)")</f>
        <v>1-Nitrosopiperidin-3-amine (TFA salt)</v>
      </c>
      <c r="C30" s="3" t="str">
        <f>HYPERLINK("https://www.kmpharma.in/product/22925","KMN084015")</f>
        <v>KMN084015</v>
      </c>
      <c r="D30" s="3" t="s">
        <v>7</v>
      </c>
      <c r="E30" s="5" t="s">
        <v>321</v>
      </c>
    </row>
    <row r="31" spans="1:5" x14ac:dyDescent="0.25">
      <c r="A31" s="6">
        <v>30</v>
      </c>
      <c r="B31" s="6" t="str">
        <f>HYPERLINK("https://www.kmpharma.in/product/25945","1-Nitrosopiperidine-4-Carboxylic Acid")</f>
        <v>1-Nitrosopiperidine-4-Carboxylic Acid</v>
      </c>
      <c r="C31" s="6" t="str">
        <f>HYPERLINK("https://www.kmpharma.in/product/25945","KMP007003")</f>
        <v>KMP007003</v>
      </c>
      <c r="D31" s="6" t="s">
        <v>25</v>
      </c>
      <c r="E31" s="7" t="s">
        <v>321</v>
      </c>
    </row>
    <row r="32" spans="1:5" x14ac:dyDescent="0.25">
      <c r="A32" s="3">
        <v>31</v>
      </c>
      <c r="B32" s="3" t="str">
        <f>HYPERLINK("https://www.kmpharma.in/product/22982","1,2 Di-Nitroso-Hydrazine Impurity")</f>
        <v>1,2 Di-Nitroso-Hydrazine Impurity</v>
      </c>
      <c r="C32" s="3" t="str">
        <f>HYPERLINK("https://www.kmpharma.in/product/22982","KMN084016")</f>
        <v>KMN084016</v>
      </c>
      <c r="D32" s="3" t="s">
        <v>7</v>
      </c>
      <c r="E32" s="5" t="s">
        <v>321</v>
      </c>
    </row>
    <row r="33" spans="1:5" x14ac:dyDescent="0.25">
      <c r="A33" s="6">
        <v>32</v>
      </c>
      <c r="B33" s="6" t="str">
        <f>HYPERLINK("https://www.kmpharma.in/product/15475","1,3-Dinitrosoguanidine")</f>
        <v>1,3-Dinitrosoguanidine</v>
      </c>
      <c r="C33" s="6" t="str">
        <f>HYPERLINK("https://www.kmpharma.in/product/15475","KMG063001")</f>
        <v>KMG063001</v>
      </c>
      <c r="D33" s="6" t="s">
        <v>7</v>
      </c>
      <c r="E33" s="7" t="s">
        <v>323</v>
      </c>
    </row>
    <row r="34" spans="1:5" x14ac:dyDescent="0.25">
      <c r="A34" s="3">
        <v>33</v>
      </c>
      <c r="B34" s="3" t="str">
        <f>HYPERLINK("https://www.kmpharma.in/product/5262","1,4-Dinitrosopiperazine")</f>
        <v>1,4-Dinitrosopiperazine</v>
      </c>
      <c r="C34" s="3" t="str">
        <f>HYPERLINK("https://www.kmpharma.in/product/5262","KMB120001")</f>
        <v>KMB120001</v>
      </c>
      <c r="D34" s="3" t="s">
        <v>26</v>
      </c>
      <c r="E34" s="3" t="s">
        <v>16</v>
      </c>
    </row>
    <row r="35" spans="1:5" x14ac:dyDescent="0.25">
      <c r="A35" s="6">
        <v>34</v>
      </c>
      <c r="B35" s="6" t="str">
        <f>HYPERLINK("https://www.kmpharma.in/product/22984","1,4,7-Trinitroso-1,4,7,10-tetraazacyclododecane")</f>
        <v>1,4,7-Trinitroso-1,4,7,10-tetraazacyclododecane</v>
      </c>
      <c r="C35" s="6" t="str">
        <f>HYPERLINK("https://www.kmpharma.in/product/22984","KMN084017")</f>
        <v>KMN084017</v>
      </c>
      <c r="D35" s="6" t="s">
        <v>7</v>
      </c>
      <c r="E35" s="7" t="s">
        <v>324</v>
      </c>
    </row>
    <row r="36" spans="1:5" x14ac:dyDescent="0.25">
      <c r="A36" s="3">
        <v>35</v>
      </c>
      <c r="B36" s="3" t="str">
        <f>HYPERLINK("https://www.kmpharma.in/product/22983","1,4,7,10-Tetranitroso-1,4,7,10-tetraazacyclododecane")</f>
        <v>1,4,7,10-Tetranitroso-1,4,7,10-tetraazacyclododecane</v>
      </c>
      <c r="C36" s="3" t="str">
        <f>HYPERLINK("https://www.kmpharma.in/product/22983","KMN084018")</f>
        <v>KMN084018</v>
      </c>
      <c r="D36" s="3" t="s">
        <v>7</v>
      </c>
      <c r="E36" s="5" t="s">
        <v>321</v>
      </c>
    </row>
    <row r="37" spans="1:5" x14ac:dyDescent="0.25">
      <c r="A37" s="6">
        <v>36</v>
      </c>
      <c r="B37" s="6" t="str">
        <f>HYPERLINK("https://www.kmpharma.in/product/22985","1,7-Dinitroso-1,4,7,10-tetraazacyclododecane")</f>
        <v>1,7-Dinitroso-1,4,7,10-tetraazacyclododecane</v>
      </c>
      <c r="C37" s="6" t="str">
        <f>HYPERLINK("https://www.kmpharma.in/product/22985","KMN084019")</f>
        <v>KMN084019</v>
      </c>
      <c r="D37" s="6" t="s">
        <v>7</v>
      </c>
      <c r="E37" s="7" t="s">
        <v>323</v>
      </c>
    </row>
    <row r="38" spans="1:5" x14ac:dyDescent="0.25">
      <c r="A38" s="3">
        <v>37</v>
      </c>
      <c r="B38" s="3" t="str">
        <f>HYPERLINK("https://www.kmpharma.in/product/20036","14C-N-Nitroso Meglumine")</f>
        <v>14C-N-Nitroso Meglumine</v>
      </c>
      <c r="C38" s="3" t="str">
        <f>HYPERLINK("https://www.kmpharma.in/product/20036","KMM057001")</f>
        <v>KMM057001</v>
      </c>
      <c r="D38" s="3" t="s">
        <v>7</v>
      </c>
      <c r="E38" s="3" t="s">
        <v>16</v>
      </c>
    </row>
    <row r="39" spans="1:5" x14ac:dyDescent="0.25">
      <c r="A39" s="6">
        <v>38</v>
      </c>
      <c r="B39" s="6" t="str">
        <f>HYPERLINK("https://www.kmpharma.in/product/25271","15N Nitroso Benzathine")</f>
        <v>15N Nitroso Benzathine</v>
      </c>
      <c r="C39" s="6" t="str">
        <f>HYPERLINK("https://www.kmpharma.in/product/25271","KMP016001")</f>
        <v>KMP016001</v>
      </c>
      <c r="D39" s="6" t="s">
        <v>7</v>
      </c>
      <c r="E39" s="7" t="s">
        <v>321</v>
      </c>
    </row>
    <row r="40" spans="1:5" x14ac:dyDescent="0.25">
      <c r="A40" s="3">
        <v>39</v>
      </c>
      <c r="B40" s="3" t="str">
        <f>HYPERLINK("https://www.kmpharma.in/product/12541","15N-N,N'-Dinitroso-Ethambutol")</f>
        <v>15N-N,N'-Dinitroso-Ethambutol</v>
      </c>
      <c r="C40" s="3" t="str">
        <f>HYPERLINK("https://www.kmpharma.in/product/12541","KME021002")</f>
        <v>KME021002</v>
      </c>
      <c r="D40" s="3" t="s">
        <v>7</v>
      </c>
      <c r="E40" s="3" t="s">
        <v>16</v>
      </c>
    </row>
    <row r="41" spans="1:5" x14ac:dyDescent="0.25">
      <c r="A41" s="6">
        <v>40</v>
      </c>
      <c r="B41" s="6" t="str">
        <f>HYPERLINK("https://www.kmpharma.in/product/32611","15N-Nitroso Terbutaline")</f>
        <v>15N-Nitroso Terbutaline</v>
      </c>
      <c r="C41" s="6" t="str">
        <f>HYPERLINK("https://www.kmpharma.in/product/32611","KMT072001")</f>
        <v>KMT072001</v>
      </c>
      <c r="D41" s="6" t="s">
        <v>7</v>
      </c>
      <c r="E41" s="6" t="s">
        <v>16</v>
      </c>
    </row>
    <row r="42" spans="1:5" x14ac:dyDescent="0.25">
      <c r="A42" s="3">
        <v>41</v>
      </c>
      <c r="B42" s="3" t="str">
        <f>HYPERLINK("https://www.kmpharma.in/product/12542","15N-Nitroso-Ethambutol")</f>
        <v>15N-Nitroso-Ethambutol</v>
      </c>
      <c r="C42" s="3" t="str">
        <f>HYPERLINK("https://www.kmpharma.in/product/12542","KME021003")</f>
        <v>KME021003</v>
      </c>
      <c r="D42" s="3" t="s">
        <v>7</v>
      </c>
      <c r="E42" s="5" t="s">
        <v>321</v>
      </c>
    </row>
    <row r="43" spans="1:5" x14ac:dyDescent="0.25">
      <c r="A43" s="6">
        <v>42</v>
      </c>
      <c r="B43" s="6" t="str">
        <f>HYPERLINK("https://www.kmpharma.in/product/38109","15N-Nitrosovarenicline")</f>
        <v>15N-Nitrosovarenicline</v>
      </c>
      <c r="C43" s="6" t="str">
        <f>HYPERLINK("https://www.kmpharma.in/product/38109","KMV011001")</f>
        <v>KMV011001</v>
      </c>
      <c r="D43" s="6" t="s">
        <v>7</v>
      </c>
      <c r="E43" s="7" t="s">
        <v>323</v>
      </c>
    </row>
    <row r="44" spans="1:5" x14ac:dyDescent="0.25">
      <c r="A44" s="3">
        <v>43</v>
      </c>
      <c r="B44" s="3" t="str">
        <f>HYPERLINK("https://www.kmpharma.in/product/25266","15N2 Dinitroso Benzathine")</f>
        <v>15N2 Dinitroso Benzathine</v>
      </c>
      <c r="C44" s="3" t="str">
        <f>HYPERLINK("https://www.kmpharma.in/product/25266","KMP016002")</f>
        <v>KMP016002</v>
      </c>
      <c r="D44" s="3" t="s">
        <v>7</v>
      </c>
      <c r="E44" s="3" t="s">
        <v>16</v>
      </c>
    </row>
    <row r="45" spans="1:5" x14ac:dyDescent="0.25">
      <c r="A45" s="6">
        <v>44</v>
      </c>
      <c r="B45" s="6" t="str">
        <f>HYPERLINK("https://www.kmpharma.in/product/23061","2-Chloro-10-nitroso-10H-phenothiazine")</f>
        <v>2-Chloro-10-nitroso-10H-phenothiazine</v>
      </c>
      <c r="C45" s="6" t="str">
        <f>HYPERLINK("https://www.kmpharma.in/product/23061","KMN084020")</f>
        <v>KMN084020</v>
      </c>
      <c r="D45" s="6" t="s">
        <v>27</v>
      </c>
      <c r="E45" s="7" t="s">
        <v>321</v>
      </c>
    </row>
    <row r="46" spans="1:5" x14ac:dyDescent="0.25">
      <c r="A46" s="3">
        <v>45</v>
      </c>
      <c r="B46" s="3" t="str">
        <f>HYPERLINK("https://www.kmpharma.in/product/22989","2-Nitroso Malononitrile")</f>
        <v>2-Nitroso Malononitrile</v>
      </c>
      <c r="C46" s="3" t="str">
        <f>HYPERLINK("https://www.kmpharma.in/product/22989","KMN084021")</f>
        <v>KMN084021</v>
      </c>
      <c r="D46" s="3" t="s">
        <v>28</v>
      </c>
      <c r="E46" s="3" t="s">
        <v>16</v>
      </c>
    </row>
    <row r="47" spans="1:5" x14ac:dyDescent="0.25">
      <c r="A47" s="6">
        <v>46</v>
      </c>
      <c r="B47" s="6" t="str">
        <f>HYPERLINK("https://www.kmpharma.in/product/22988","2,2,5-Trimethyl-3-nitrosooxazolidine")</f>
        <v>2,2,5-Trimethyl-3-nitrosooxazolidine</v>
      </c>
      <c r="C47" s="6" t="str">
        <f>HYPERLINK("https://www.kmpharma.in/product/22988","KMN084022")</f>
        <v>KMN084022</v>
      </c>
      <c r="D47" s="6" t="s">
        <v>29</v>
      </c>
      <c r="E47" s="7" t="s">
        <v>321</v>
      </c>
    </row>
    <row r="48" spans="1:5" x14ac:dyDescent="0.25">
      <c r="A48" s="3">
        <v>47</v>
      </c>
      <c r="B48" s="3" t="str">
        <f>HYPERLINK("https://www.kmpharma.in/product/22926","2,2,6,6-tetramethyl-1-nitrosopiperidine")</f>
        <v>2,2,6,6-tetramethyl-1-nitrosopiperidine</v>
      </c>
      <c r="C48" s="3" t="str">
        <f>HYPERLINK("https://www.kmpharma.in/product/22926","KMN084023")</f>
        <v>KMN084023</v>
      </c>
      <c r="D48" s="3" t="s">
        <v>30</v>
      </c>
      <c r="E48" s="5" t="s">
        <v>321</v>
      </c>
    </row>
    <row r="49" spans="1:5" x14ac:dyDescent="0.25">
      <c r="A49" s="6">
        <v>48</v>
      </c>
      <c r="B49" s="6" t="str">
        <f>HYPERLINK("https://www.kmpharma.in/product/26284","3-Amino-1-nitroso piperidine-2,6-dione")</f>
        <v>3-Amino-1-nitroso piperidine-2,6-dione</v>
      </c>
      <c r="C49" s="6" t="str">
        <f>HYPERLINK("https://www.kmpharma.in/product/26284","KMP150001")</f>
        <v>KMP150001</v>
      </c>
      <c r="D49" s="6" t="s">
        <v>7</v>
      </c>
      <c r="E49" s="7" t="s">
        <v>321</v>
      </c>
    </row>
    <row r="50" spans="1:5" x14ac:dyDescent="0.25">
      <c r="A50" s="3">
        <v>49</v>
      </c>
      <c r="B50" s="3" t="str">
        <f>HYPERLINK("https://www.kmpharma.in/product/23055","3-Methyl-1-Nitrosoindoline")</f>
        <v>3-Methyl-1-Nitrosoindoline</v>
      </c>
      <c r="C50" s="3" t="str">
        <f>HYPERLINK("https://www.kmpharma.in/product/23055","KMN084024")</f>
        <v>KMN084024</v>
      </c>
      <c r="D50" s="3" t="s">
        <v>7</v>
      </c>
      <c r="E50" s="5" t="s">
        <v>321</v>
      </c>
    </row>
    <row r="51" spans="1:5" x14ac:dyDescent="0.25">
      <c r="A51" s="6">
        <v>50</v>
      </c>
      <c r="B51" s="6" t="str">
        <f>HYPERLINK("https://www.kmpharma.in/product/22927","4-(1-Nitrosopiperidin-4-yl)morpholine")</f>
        <v>4-(1-Nitrosopiperidin-4-yl)morpholine</v>
      </c>
      <c r="C51" s="6" t="str">
        <f>HYPERLINK("https://www.kmpharma.in/product/22927","KMN084025")</f>
        <v>KMN084025</v>
      </c>
      <c r="D51" s="6" t="s">
        <v>31</v>
      </c>
      <c r="E51" s="7" t="s">
        <v>321</v>
      </c>
    </row>
    <row r="52" spans="1:5" x14ac:dyDescent="0.25">
      <c r="A52" s="3">
        <v>51</v>
      </c>
      <c r="B52" s="3" t="str">
        <f>HYPERLINK("https://www.kmpharma.in/product/22928","4-Chloro-N-nitrosopiperidine")</f>
        <v>4-Chloro-N-nitrosopiperidine</v>
      </c>
      <c r="C52" s="3" t="str">
        <f>HYPERLINK("https://www.kmpharma.in/product/22928","KMN084026")</f>
        <v>KMN084026</v>
      </c>
      <c r="D52" s="3" t="s">
        <v>32</v>
      </c>
      <c r="E52" s="5" t="s">
        <v>322</v>
      </c>
    </row>
    <row r="53" spans="1:5" x14ac:dyDescent="0.25">
      <c r="A53" s="6">
        <v>52</v>
      </c>
      <c r="B53" s="6" t="str">
        <f>HYPERLINK("https://www.kmpharma.in/product/31606","4-Fluoroisonitrosoacetanilide")</f>
        <v>4-Fluoroisonitrosoacetanilide</v>
      </c>
      <c r="C53" s="6" t="str">
        <f>HYPERLINK("https://www.kmpharma.in/product/31606","KMS011002")</f>
        <v>KMS011002</v>
      </c>
      <c r="D53" s="6" t="s">
        <v>33</v>
      </c>
      <c r="E53" s="7" t="s">
        <v>323</v>
      </c>
    </row>
    <row r="54" spans="1:5" x14ac:dyDescent="0.25">
      <c r="A54" s="3">
        <v>53</v>
      </c>
      <c r="B54" s="3" t="str">
        <f>HYPERLINK("https://www.kmpharma.in/product/15727","4-Nitroso Hydrochlorothiazide-13C,15N2,d2")</f>
        <v>4-Nitroso Hydrochlorothiazide-13C,15N2,d2</v>
      </c>
      <c r="C54" s="3" t="str">
        <f>HYPERLINK("https://www.kmpharma.in/product/15727","KMH003004")</f>
        <v>KMH003004</v>
      </c>
      <c r="D54" s="3" t="s">
        <v>7</v>
      </c>
      <c r="E54" s="5" t="s">
        <v>321</v>
      </c>
    </row>
    <row r="55" spans="1:5" x14ac:dyDescent="0.25">
      <c r="A55" s="6">
        <v>54</v>
      </c>
      <c r="B55" s="6" t="str">
        <f>HYPERLINK("https://www.kmpharma.in/product/15728","4-Nitroso Hydrochlorothiazide-13C,D3")</f>
        <v>4-Nitroso Hydrochlorothiazide-13C,D3</v>
      </c>
      <c r="C55" s="6" t="str">
        <f>HYPERLINK("https://www.kmpharma.in/product/15728","KMH003005")</f>
        <v>KMH003005</v>
      </c>
      <c r="D55" s="6" t="s">
        <v>7</v>
      </c>
      <c r="E55" s="7" t="s">
        <v>321</v>
      </c>
    </row>
    <row r="56" spans="1:5" x14ac:dyDescent="0.25">
      <c r="A56" s="3">
        <v>55</v>
      </c>
      <c r="B56" s="3" t="str">
        <f>HYPERLINK("https://www.kmpharma.in/product/22929","4-nitrosomethylaminopyridine")</f>
        <v>4-nitrosomethylaminopyridine</v>
      </c>
      <c r="C56" s="3" t="str">
        <f>HYPERLINK("https://www.kmpharma.in/product/22929","KMN084027")</f>
        <v>KMN084027</v>
      </c>
      <c r="D56" s="3" t="s">
        <v>34</v>
      </c>
      <c r="E56" s="5" t="s">
        <v>322</v>
      </c>
    </row>
    <row r="57" spans="1:5" x14ac:dyDescent="0.25">
      <c r="A57" s="6">
        <v>56</v>
      </c>
      <c r="B57" s="6" t="str">
        <f>HYPERLINK("https://www.kmpharma.in/product/12833","5-Desbromo Nitroso Etravirine")</f>
        <v>5-Desbromo Nitroso Etravirine</v>
      </c>
      <c r="C57" s="6" t="str">
        <f>HYPERLINK("https://www.kmpharma.in/product/12833","KME007003")</f>
        <v>KME007003</v>
      </c>
      <c r="D57" s="6" t="s">
        <v>7</v>
      </c>
      <c r="E57" s="7" t="s">
        <v>323</v>
      </c>
    </row>
    <row r="58" spans="1:5" x14ac:dyDescent="0.25">
      <c r="A58" s="3">
        <v>57</v>
      </c>
      <c r="B58" s="3" t="str">
        <f>HYPERLINK("https://www.kmpharma.in/product/3357","7-Nitroso-7H-purine-6-thiol")</f>
        <v>7-Nitroso-7H-purine-6-thiol</v>
      </c>
      <c r="C58" s="3" t="str">
        <f>HYPERLINK("https://www.kmpharma.in/product/3357","KMA020001")</f>
        <v>KMA020001</v>
      </c>
      <c r="D58" s="3" t="s">
        <v>7</v>
      </c>
      <c r="E58" s="5" t="s">
        <v>321</v>
      </c>
    </row>
    <row r="59" spans="1:5" x14ac:dyDescent="0.25">
      <c r="A59" s="6">
        <v>58</v>
      </c>
      <c r="B59" s="6" t="str">
        <f>HYPERLINK("https://www.kmpharma.in/product/29942","7,8-Dihydrobiopterin Nitroso Impurity")</f>
        <v>7,8-Dihydrobiopterin Nitroso Impurity</v>
      </c>
      <c r="C59" s="6" t="str">
        <f>HYPERLINK("https://www.kmpharma.in/product/29942","KMS026006")</f>
        <v>KMS026006</v>
      </c>
      <c r="D59" s="6" t="s">
        <v>7</v>
      </c>
      <c r="E59" s="7" t="s">
        <v>321</v>
      </c>
    </row>
    <row r="60" spans="1:5" x14ac:dyDescent="0.25">
      <c r="A60" s="3">
        <v>59</v>
      </c>
      <c r="B60" s="3" t="str">
        <f>HYPERLINK("https://www.kmpharma.in/product/568","Abacavir Dinitroso Impurity")</f>
        <v>Abacavir Dinitroso Impurity</v>
      </c>
      <c r="C60" s="3" t="str">
        <f>HYPERLINK("https://www.kmpharma.in/product/568","KMA021006")</f>
        <v>KMA021006</v>
      </c>
      <c r="D60" s="3" t="s">
        <v>7</v>
      </c>
      <c r="E60" s="5" t="s">
        <v>321</v>
      </c>
    </row>
    <row r="61" spans="1:5" x14ac:dyDescent="0.25">
      <c r="A61" s="6">
        <v>60</v>
      </c>
      <c r="B61" s="6" t="str">
        <f>HYPERLINK("https://www.kmpharma.in/product/569","Abacavir Nitroso Impurity 1")</f>
        <v>Abacavir Nitroso Impurity 1</v>
      </c>
      <c r="C61" s="6" t="str">
        <f>HYPERLINK("https://www.kmpharma.in/product/569","KMA021028")</f>
        <v>KMA021028</v>
      </c>
      <c r="D61" s="6" t="s">
        <v>7</v>
      </c>
      <c r="E61" s="7" t="s">
        <v>321</v>
      </c>
    </row>
    <row r="62" spans="1:5" x14ac:dyDescent="0.25">
      <c r="A62" s="3">
        <v>61</v>
      </c>
      <c r="B62" s="3" t="str">
        <f>HYPERLINK("https://www.kmpharma.in/product/572","Abacavir Nitroso Impurity 2")</f>
        <v>Abacavir Nitroso Impurity 2</v>
      </c>
      <c r="C62" s="3" t="str">
        <f>HYPERLINK("https://www.kmpharma.in/product/572","KMA021029")</f>
        <v>KMA021029</v>
      </c>
      <c r="D62" s="3" t="s">
        <v>7</v>
      </c>
      <c r="E62" s="3" t="s">
        <v>16</v>
      </c>
    </row>
    <row r="63" spans="1:5" x14ac:dyDescent="0.25">
      <c r="A63" s="6">
        <v>62</v>
      </c>
      <c r="B63" s="6" t="str">
        <f>HYPERLINK("https://www.kmpharma.in/product/573","Abacavir Nitroso Impurity 3")</f>
        <v>Abacavir Nitroso Impurity 3</v>
      </c>
      <c r="C63" s="6" t="str">
        <f>HYPERLINK("https://www.kmpharma.in/product/573","KMA021030")</f>
        <v>KMA021030</v>
      </c>
      <c r="D63" s="6" t="s">
        <v>7</v>
      </c>
      <c r="E63" s="7" t="s">
        <v>321</v>
      </c>
    </row>
    <row r="64" spans="1:5" x14ac:dyDescent="0.25">
      <c r="A64" s="3">
        <v>63</v>
      </c>
      <c r="B64" s="3" t="str">
        <f>HYPERLINK("https://www.kmpharma.in/product/616","Abemaciclib Nitroso Impurity 1")</f>
        <v>Abemaciclib Nitroso Impurity 1</v>
      </c>
      <c r="C64" s="3" t="str">
        <f>HYPERLINK("https://www.kmpharma.in/product/616","KMA039036")</f>
        <v>KMA039036</v>
      </c>
      <c r="D64" s="3" t="s">
        <v>7</v>
      </c>
      <c r="E64" s="5" t="s">
        <v>321</v>
      </c>
    </row>
    <row r="65" spans="1:5" x14ac:dyDescent="0.25">
      <c r="A65" s="6">
        <v>64</v>
      </c>
      <c r="B65" s="6" t="str">
        <f>HYPERLINK("https://www.kmpharma.in/product/613","Abemaciclib Nitroso Impurity 2")</f>
        <v>Abemaciclib Nitroso Impurity 2</v>
      </c>
      <c r="C65" s="6" t="str">
        <f>HYPERLINK("https://www.kmpharma.in/product/613","KMA039037")</f>
        <v>KMA039037</v>
      </c>
      <c r="D65" s="6" t="s">
        <v>7</v>
      </c>
      <c r="E65" s="7" t="s">
        <v>321</v>
      </c>
    </row>
    <row r="66" spans="1:5" x14ac:dyDescent="0.25">
      <c r="A66" s="3">
        <v>65</v>
      </c>
      <c r="B66" s="3" t="str">
        <f>HYPERLINK("https://www.kmpharma.in/product/614","Abemaciclib Nitroso Impurity 3")</f>
        <v>Abemaciclib Nitroso Impurity 3</v>
      </c>
      <c r="C66" s="3" t="str">
        <f>HYPERLINK("https://www.kmpharma.in/product/614","KMA039038")</f>
        <v>KMA039038</v>
      </c>
      <c r="D66" s="3" t="s">
        <v>7</v>
      </c>
      <c r="E66" s="5" t="s">
        <v>321</v>
      </c>
    </row>
    <row r="67" spans="1:5" x14ac:dyDescent="0.25">
      <c r="A67" s="6">
        <v>66</v>
      </c>
      <c r="B67" s="6" t="str">
        <f>HYPERLINK("https://www.kmpharma.in/product/605","Abemaciclib Nitroso Impurity 4")</f>
        <v>Abemaciclib Nitroso Impurity 4</v>
      </c>
      <c r="C67" s="6" t="str">
        <f>HYPERLINK("https://www.kmpharma.in/product/605","KMA039039")</f>
        <v>KMA039039</v>
      </c>
      <c r="D67" s="6" t="s">
        <v>7</v>
      </c>
      <c r="E67" s="7" t="s">
        <v>323</v>
      </c>
    </row>
    <row r="68" spans="1:5" x14ac:dyDescent="0.25">
      <c r="A68" s="3">
        <v>67</v>
      </c>
      <c r="B68" s="3" t="str">
        <f>HYPERLINK("https://www.kmpharma.in/product/615","Abemaciclib Nitroso Metabolites M2")</f>
        <v>Abemaciclib Nitroso Metabolites M2</v>
      </c>
      <c r="C68" s="3" t="str">
        <f>HYPERLINK("https://www.kmpharma.in/product/615","KMA039040")</f>
        <v>KMA039040</v>
      </c>
      <c r="D68" s="3" t="s">
        <v>7</v>
      </c>
      <c r="E68" s="5" t="s">
        <v>324</v>
      </c>
    </row>
    <row r="69" spans="1:5" x14ac:dyDescent="0.25">
      <c r="A69" s="6">
        <v>68</v>
      </c>
      <c r="B69" s="6" t="str">
        <f>HYPERLINK("https://www.kmpharma.in/product/638","Abrocitinib Nitroso Impurity 1")</f>
        <v>Abrocitinib Nitroso Impurity 1</v>
      </c>
      <c r="C69" s="6" t="str">
        <f>HYPERLINK("https://www.kmpharma.in/product/638","KMA042014")</f>
        <v>KMA042014</v>
      </c>
      <c r="D69" s="6" t="s">
        <v>7</v>
      </c>
      <c r="E69" s="7" t="s">
        <v>322</v>
      </c>
    </row>
    <row r="70" spans="1:5" x14ac:dyDescent="0.25">
      <c r="A70" s="3">
        <v>69</v>
      </c>
      <c r="B70" s="3" t="str">
        <f>HYPERLINK("https://www.kmpharma.in/product/634","Abrocitinib Nitroso Impurity 2")</f>
        <v>Abrocitinib Nitroso Impurity 2</v>
      </c>
      <c r="C70" s="3" t="str">
        <f>HYPERLINK("https://www.kmpharma.in/product/634","KMA042015")</f>
        <v>KMA042015</v>
      </c>
      <c r="D70" s="3" t="s">
        <v>7</v>
      </c>
      <c r="E70" s="3" t="s">
        <v>16</v>
      </c>
    </row>
    <row r="71" spans="1:5" x14ac:dyDescent="0.25">
      <c r="A71" s="6">
        <v>70</v>
      </c>
      <c r="B71" s="6" t="str">
        <f>HYPERLINK("https://www.kmpharma.in/product/635","Abrocitinib Nitroso Impurity 3")</f>
        <v>Abrocitinib Nitroso Impurity 3</v>
      </c>
      <c r="C71" s="6" t="str">
        <f>HYPERLINK("https://www.kmpharma.in/product/635","KMA042016")</f>
        <v>KMA042016</v>
      </c>
      <c r="D71" s="6" t="s">
        <v>7</v>
      </c>
      <c r="E71" s="7" t="s">
        <v>321</v>
      </c>
    </row>
    <row r="72" spans="1:5" x14ac:dyDescent="0.25">
      <c r="A72" s="3">
        <v>71</v>
      </c>
      <c r="B72" s="3" t="str">
        <f>HYPERLINK("https://www.kmpharma.in/product/11003","Abrocitinib Nitroso Impurity 3")</f>
        <v>Abrocitinib Nitroso Impurity 3</v>
      </c>
      <c r="C72" s="3" t="str">
        <f>HYPERLINK("https://www.kmpharma.in/product/11003","KMD006006")</f>
        <v>KMD006006</v>
      </c>
      <c r="D72" s="3" t="s">
        <v>7</v>
      </c>
      <c r="E72" s="5" t="s">
        <v>322</v>
      </c>
    </row>
    <row r="73" spans="1:5" x14ac:dyDescent="0.25">
      <c r="A73" s="6">
        <v>72</v>
      </c>
      <c r="B73" s="6" t="str">
        <f>HYPERLINK("https://www.kmpharma.in/product/636","Abrocitinib Nitroso Impurity 4")</f>
        <v>Abrocitinib Nitroso Impurity 4</v>
      </c>
      <c r="C73" s="6" t="str">
        <f>HYPERLINK("https://www.kmpharma.in/product/636","KMA042017")</f>
        <v>KMA042017</v>
      </c>
      <c r="D73" s="6" t="s">
        <v>7</v>
      </c>
      <c r="E73" s="7" t="s">
        <v>321</v>
      </c>
    </row>
    <row r="74" spans="1:5" x14ac:dyDescent="0.25">
      <c r="A74" s="3">
        <v>73</v>
      </c>
      <c r="B74" s="3" t="str">
        <f>HYPERLINK("https://www.kmpharma.in/product/11004","Abrocitinib Nitroso Impurity 4")</f>
        <v>Abrocitinib Nitroso Impurity 4</v>
      </c>
      <c r="C74" s="3" t="str">
        <f>HYPERLINK("https://www.kmpharma.in/product/11004","KMD006007")</f>
        <v>KMD006007</v>
      </c>
      <c r="D74" s="3" t="s">
        <v>7</v>
      </c>
      <c r="E74" s="3" t="s">
        <v>16</v>
      </c>
    </row>
    <row r="75" spans="1:5" x14ac:dyDescent="0.25">
      <c r="A75" s="6">
        <v>74</v>
      </c>
      <c r="B75" s="6" t="str">
        <f>HYPERLINK("https://www.kmpharma.in/product/689","Acalabrutinib Nitroso Impurity 1")</f>
        <v>Acalabrutinib Nitroso Impurity 1</v>
      </c>
      <c r="C75" s="6" t="str">
        <f>HYPERLINK("https://www.kmpharma.in/product/689","KMA043047")</f>
        <v>KMA043047</v>
      </c>
      <c r="D75" s="6" t="s">
        <v>7</v>
      </c>
      <c r="E75" s="7" t="s">
        <v>323</v>
      </c>
    </row>
    <row r="76" spans="1:5" x14ac:dyDescent="0.25">
      <c r="A76" s="3">
        <v>75</v>
      </c>
      <c r="B76" s="3" t="str">
        <f>HYPERLINK("https://www.kmpharma.in/product/690","Acalabrutinib Nitroso Impurity 2")</f>
        <v>Acalabrutinib Nitroso Impurity 2</v>
      </c>
      <c r="C76" s="3" t="str">
        <f>HYPERLINK("https://www.kmpharma.in/product/690","KMA043048")</f>
        <v>KMA043048</v>
      </c>
      <c r="D76" s="3" t="s">
        <v>7</v>
      </c>
      <c r="E76" s="3" t="s">
        <v>16</v>
      </c>
    </row>
    <row r="77" spans="1:5" x14ac:dyDescent="0.25">
      <c r="A77" s="6">
        <v>76</v>
      </c>
      <c r="B77" s="6" t="str">
        <f>HYPERLINK("https://www.kmpharma.in/product/708","Acebrophylline Nitroso Impurity 1")</f>
        <v>Acebrophylline Nitroso Impurity 1</v>
      </c>
      <c r="C77" s="6" t="str">
        <f>HYPERLINK("https://www.kmpharma.in/product/708","KMA046002")</f>
        <v>KMA046002</v>
      </c>
      <c r="D77" s="6" t="s">
        <v>7</v>
      </c>
      <c r="E77" s="7" t="s">
        <v>321</v>
      </c>
    </row>
    <row r="78" spans="1:5" x14ac:dyDescent="0.25">
      <c r="A78" s="3">
        <v>77</v>
      </c>
      <c r="B78" s="3" t="str">
        <f>HYPERLINK("https://www.kmpharma.in/product/745","Aceclofenac Nitroso Impurity 1")</f>
        <v>Aceclofenac Nitroso Impurity 1</v>
      </c>
      <c r="C78" s="3" t="str">
        <f>HYPERLINK("https://www.kmpharma.in/product/745","KMA005020")</f>
        <v>KMA005020</v>
      </c>
      <c r="D78" s="3" t="s">
        <v>7</v>
      </c>
      <c r="E78" s="5" t="s">
        <v>321</v>
      </c>
    </row>
    <row r="79" spans="1:5" x14ac:dyDescent="0.25">
      <c r="A79" s="6">
        <v>78</v>
      </c>
      <c r="B79" s="6" t="str">
        <f>HYPERLINK("https://www.kmpharma.in/product/778","Acetazolamide N-Nitroso Impurity")</f>
        <v>Acetazolamide N-Nitroso Impurity</v>
      </c>
      <c r="C79" s="6" t="str">
        <f>HYPERLINK("https://www.kmpharma.in/product/778","KMA052014")</f>
        <v>KMA052014</v>
      </c>
      <c r="D79" s="6" t="s">
        <v>7</v>
      </c>
      <c r="E79" s="7" t="s">
        <v>321</v>
      </c>
    </row>
    <row r="80" spans="1:5" x14ac:dyDescent="0.25">
      <c r="A80" s="3">
        <v>79</v>
      </c>
      <c r="B80" s="3" t="str">
        <f>HYPERLINK("https://www.kmpharma.in/product/896","Adagrasib Nitroso Impurity 1")</f>
        <v>Adagrasib Nitroso Impurity 1</v>
      </c>
      <c r="C80" s="3" t="str">
        <f>HYPERLINK("https://www.kmpharma.in/product/896","KMA063012")</f>
        <v>KMA063012</v>
      </c>
      <c r="D80" s="3" t="s">
        <v>7</v>
      </c>
      <c r="E80" s="3" t="s">
        <v>16</v>
      </c>
    </row>
    <row r="81" spans="1:5" x14ac:dyDescent="0.25">
      <c r="A81" s="6">
        <v>80</v>
      </c>
      <c r="B81" s="6" t="str">
        <f>HYPERLINK("https://www.kmpharma.in/product/986","Adrenalin Nitroso Impurity 1")</f>
        <v>Adrenalin Nitroso Impurity 1</v>
      </c>
      <c r="C81" s="6" t="str">
        <f>HYPERLINK("https://www.kmpharma.in/product/986","KMA069006")</f>
        <v>KMA069006</v>
      </c>
      <c r="D81" s="6" t="s">
        <v>7</v>
      </c>
      <c r="E81" s="7" t="s">
        <v>323</v>
      </c>
    </row>
    <row r="82" spans="1:5" x14ac:dyDescent="0.25">
      <c r="A82" s="3">
        <v>81</v>
      </c>
      <c r="B82" s="3" t="str">
        <f>HYPERLINK("https://www.kmpharma.in/product/992","Adrenalone Nitroso Impurity 1")</f>
        <v>Adrenalone Nitroso Impurity 1</v>
      </c>
      <c r="C82" s="3" t="str">
        <f>HYPERLINK("https://www.kmpharma.in/product/992","KMA070004")</f>
        <v>KMA070004</v>
      </c>
      <c r="D82" s="3" t="s">
        <v>7</v>
      </c>
      <c r="E82" s="5" t="s">
        <v>321</v>
      </c>
    </row>
    <row r="83" spans="1:5" x14ac:dyDescent="0.25">
      <c r="A83" s="6">
        <v>82</v>
      </c>
      <c r="B83" s="6" t="str">
        <f>HYPERLINK("https://www.kmpharma.in/product/1052","Afatinib Nitroso Impurity 1")</f>
        <v>Afatinib Nitroso Impurity 1</v>
      </c>
      <c r="C83" s="6" t="str">
        <f>HYPERLINK("https://www.kmpharma.in/product/1052","KMA071057")</f>
        <v>KMA071057</v>
      </c>
      <c r="D83" s="6" t="s">
        <v>7</v>
      </c>
      <c r="E83" s="7" t="s">
        <v>323</v>
      </c>
    </row>
    <row r="84" spans="1:5" x14ac:dyDescent="0.25">
      <c r="A84" s="3">
        <v>83</v>
      </c>
      <c r="B84" s="3" t="str">
        <f>HYPERLINK("https://www.kmpharma.in/product/1051","Afatinib Nitroso Impurity 2")</f>
        <v>Afatinib Nitroso Impurity 2</v>
      </c>
      <c r="C84" s="3" t="str">
        <f>HYPERLINK("https://www.kmpharma.in/product/1051","KMA071058")</f>
        <v>KMA071058</v>
      </c>
      <c r="D84" s="3" t="s">
        <v>7</v>
      </c>
      <c r="E84" s="5" t="s">
        <v>321</v>
      </c>
    </row>
    <row r="85" spans="1:5" x14ac:dyDescent="0.25">
      <c r="A85" s="6">
        <v>84</v>
      </c>
      <c r="B85" s="6" t="str">
        <f>HYPERLINK("https://www.kmpharma.in/product/1101","Agomelatine Nitroso Impurity 1")</f>
        <v>Agomelatine Nitroso Impurity 1</v>
      </c>
      <c r="C85" s="6" t="str">
        <f>HYPERLINK("https://www.kmpharma.in/product/1101","KMA023033")</f>
        <v>KMA023033</v>
      </c>
      <c r="D85" s="6" t="s">
        <v>7</v>
      </c>
      <c r="E85" s="7" t="s">
        <v>321</v>
      </c>
    </row>
    <row r="86" spans="1:5" x14ac:dyDescent="0.25">
      <c r="A86" s="3">
        <v>85</v>
      </c>
      <c r="B86" s="3" t="str">
        <f>HYPERLINK("https://www.kmpharma.in/product/1143","Albendazole Nitroso Impurity 1")</f>
        <v>Albendazole Nitroso Impurity 1</v>
      </c>
      <c r="C86" s="3" t="str">
        <f>HYPERLINK("https://www.kmpharma.in/product/1143","KMA077036")</f>
        <v>KMA077036</v>
      </c>
      <c r="D86" s="3" t="s">
        <v>7</v>
      </c>
      <c r="E86" s="5" t="s">
        <v>323</v>
      </c>
    </row>
    <row r="87" spans="1:5" x14ac:dyDescent="0.25">
      <c r="A87" s="6">
        <v>86</v>
      </c>
      <c r="B87" s="6" t="str">
        <f>HYPERLINK("https://www.kmpharma.in/product/1213","Alectinib Nitroso Impurity 1")</f>
        <v>Alectinib Nitroso Impurity 1</v>
      </c>
      <c r="C87" s="6" t="str">
        <f>HYPERLINK("https://www.kmpharma.in/product/1213","KMA082008")</f>
        <v>KMA082008</v>
      </c>
      <c r="D87" s="6" t="s">
        <v>7</v>
      </c>
      <c r="E87" s="7" t="s">
        <v>321</v>
      </c>
    </row>
    <row r="88" spans="1:5" x14ac:dyDescent="0.25">
      <c r="A88" s="3">
        <v>87</v>
      </c>
      <c r="B88" s="3" t="str">
        <f>HYPERLINK("https://www.kmpharma.in/product/1214","Alectinib Nitroso Impurity 2")</f>
        <v>Alectinib Nitroso Impurity 2</v>
      </c>
      <c r="C88" s="3" t="str">
        <f>HYPERLINK("https://www.kmpharma.in/product/1214","KMA082009")</f>
        <v>KMA082009</v>
      </c>
      <c r="D88" s="3" t="s">
        <v>7</v>
      </c>
      <c r="E88" s="5" t="s">
        <v>321</v>
      </c>
    </row>
    <row r="89" spans="1:5" x14ac:dyDescent="0.25">
      <c r="A89" s="6">
        <v>88</v>
      </c>
      <c r="B89" s="6" t="str">
        <f>HYPERLINK("https://www.kmpharma.in/product/1257","Alfuzosin Nitroso Impurity 1")</f>
        <v>Alfuzosin Nitroso Impurity 1</v>
      </c>
      <c r="C89" s="6" t="str">
        <f>HYPERLINK("https://www.kmpharma.in/product/1257","KMA089015")</f>
        <v>KMA089015</v>
      </c>
      <c r="D89" s="6" t="s">
        <v>7</v>
      </c>
      <c r="E89" s="6" t="s">
        <v>16</v>
      </c>
    </row>
    <row r="90" spans="1:5" x14ac:dyDescent="0.25">
      <c r="A90" s="3">
        <v>89</v>
      </c>
      <c r="B90" s="3" t="str">
        <f>HYPERLINK("https://www.kmpharma.in/product/1304","Allopurinol Nitroso Impurity 1")</f>
        <v>Allopurinol Nitroso Impurity 1</v>
      </c>
      <c r="C90" s="3" t="str">
        <f>HYPERLINK("https://www.kmpharma.in/product/1304","KMA022013")</f>
        <v>KMA022013</v>
      </c>
      <c r="D90" s="3" t="s">
        <v>7</v>
      </c>
      <c r="E90" s="5" t="s">
        <v>321</v>
      </c>
    </row>
    <row r="91" spans="1:5" x14ac:dyDescent="0.25">
      <c r="A91" s="6">
        <v>90</v>
      </c>
      <c r="B91" s="6" t="str">
        <f>HYPERLINK("https://www.kmpharma.in/product/1305","Allopurinol Nitroso Impurity 2")</f>
        <v>Allopurinol Nitroso Impurity 2</v>
      </c>
      <c r="C91" s="6" t="str">
        <f>HYPERLINK("https://www.kmpharma.in/product/1305","KMA022014")</f>
        <v>KMA022014</v>
      </c>
      <c r="D91" s="6" t="s">
        <v>7</v>
      </c>
      <c r="E91" s="7" t="s">
        <v>321</v>
      </c>
    </row>
    <row r="92" spans="1:5" x14ac:dyDescent="0.25">
      <c r="A92" s="3">
        <v>91</v>
      </c>
      <c r="B92" s="3" t="str">
        <f>HYPERLINK("https://www.kmpharma.in/product/34980","Almotriptan Hydrazine Precursor Nitroso Impurity")</f>
        <v>Almotriptan Hydrazine Precursor Nitroso Impurity</v>
      </c>
      <c r="C92" s="3" t="str">
        <f>HYPERLINK("https://www.kmpharma.in/product/34980","KMA098015")</f>
        <v>KMA098015</v>
      </c>
      <c r="D92" s="3" t="s">
        <v>7</v>
      </c>
      <c r="E92" s="3" t="s">
        <v>16</v>
      </c>
    </row>
    <row r="93" spans="1:5" x14ac:dyDescent="0.25">
      <c r="A93" s="6">
        <v>92</v>
      </c>
      <c r="B93" s="6" t="str">
        <f>HYPERLINK("https://www.kmpharma.in/product/34981","Almotriptan Nitroso Impurity 1")</f>
        <v>Almotriptan Nitroso Impurity 1</v>
      </c>
      <c r="C93" s="6" t="str">
        <f>HYPERLINK("https://www.kmpharma.in/product/34981","KMA098023")</f>
        <v>KMA098023</v>
      </c>
      <c r="D93" s="6" t="s">
        <v>7</v>
      </c>
      <c r="E93" s="7" t="s">
        <v>321</v>
      </c>
    </row>
    <row r="94" spans="1:5" x14ac:dyDescent="0.25">
      <c r="A94" s="3">
        <v>93</v>
      </c>
      <c r="B94" s="3" t="str">
        <f>HYPERLINK("https://www.kmpharma.in/product/1391","Alogliptin Benzoate Dimer Nitroso Impurity")</f>
        <v>Alogliptin Benzoate Dimer Nitroso Impurity</v>
      </c>
      <c r="C94" s="3" t="str">
        <f>HYPERLINK("https://www.kmpharma.in/product/1391","KMA028012")</f>
        <v>KMA028012</v>
      </c>
      <c r="D94" s="3" t="s">
        <v>7</v>
      </c>
      <c r="E94" s="3" t="s">
        <v>16</v>
      </c>
    </row>
    <row r="95" spans="1:5" x14ac:dyDescent="0.25">
      <c r="A95" s="6">
        <v>94</v>
      </c>
      <c r="B95" s="6" t="str">
        <f>HYPERLINK("https://www.kmpharma.in/product/1392","Alogliptin Nitroso Impurity 1")</f>
        <v>Alogliptin Nitroso Impurity 1</v>
      </c>
      <c r="C95" s="6" t="str">
        <f>HYPERLINK("https://www.kmpharma.in/product/1392","KMA028082")</f>
        <v>KMA028082</v>
      </c>
      <c r="D95" s="6" t="s">
        <v>7</v>
      </c>
      <c r="E95" s="7" t="s">
        <v>321</v>
      </c>
    </row>
    <row r="96" spans="1:5" x14ac:dyDescent="0.25">
      <c r="A96" s="3">
        <v>95</v>
      </c>
      <c r="B96" s="3" t="str">
        <f>HYPERLINK("https://www.kmpharma.in/product/1393","Alogliptin Nitroso Impurity 2")</f>
        <v>Alogliptin Nitroso Impurity 2</v>
      </c>
      <c r="C96" s="3" t="str">
        <f>HYPERLINK("https://www.kmpharma.in/product/1393","KMA028083")</f>
        <v>KMA028083</v>
      </c>
      <c r="D96" s="3" t="s">
        <v>7</v>
      </c>
      <c r="E96" s="5" t="s">
        <v>321</v>
      </c>
    </row>
    <row r="97" spans="1:5" x14ac:dyDescent="0.25">
      <c r="A97" s="6">
        <v>96</v>
      </c>
      <c r="B97" s="6" t="str">
        <f>HYPERLINK("https://www.kmpharma.in/product/1514","Alvimopan Nitroso Impurity 1")</f>
        <v>Alvimopan Nitroso Impurity 1</v>
      </c>
      <c r="C97" s="6" t="str">
        <f>HYPERLINK("https://www.kmpharma.in/product/1514","KMA112039")</f>
        <v>KMA112039</v>
      </c>
      <c r="D97" s="6" t="s">
        <v>7</v>
      </c>
      <c r="E97" s="7" t="s">
        <v>321</v>
      </c>
    </row>
    <row r="98" spans="1:5" x14ac:dyDescent="0.25">
      <c r="A98" s="3">
        <v>97</v>
      </c>
      <c r="B98" s="3" t="str">
        <f>HYPERLINK("https://www.kmpharma.in/product/111","Aminodihexylquat Nitroso Impurity")</f>
        <v>Aminodihexylquat Nitroso Impurity</v>
      </c>
      <c r="C98" s="3" t="str">
        <f>HYPERLINK("https://www.kmpharma.in/product/111","KMC002002")</f>
        <v>KMC002002</v>
      </c>
      <c r="D98" s="3" t="s">
        <v>35</v>
      </c>
      <c r="E98" s="5" t="s">
        <v>323</v>
      </c>
    </row>
    <row r="99" spans="1:5" x14ac:dyDescent="0.25">
      <c r="A99" s="6">
        <v>98</v>
      </c>
      <c r="B99" s="6" t="str">
        <f>HYPERLINK("https://www.kmpharma.in/product/35087","Amlodipine D4 Nitroso Impurity")</f>
        <v>Amlodipine D4 Nitroso Impurity</v>
      </c>
      <c r="C99" s="6" t="str">
        <f>HYPERLINK("https://www.kmpharma.in/product/35087","KMA011018")</f>
        <v>KMA011018</v>
      </c>
      <c r="D99" s="6" t="s">
        <v>7</v>
      </c>
      <c r="E99" s="7" t="s">
        <v>323</v>
      </c>
    </row>
    <row r="100" spans="1:5" x14ac:dyDescent="0.25">
      <c r="A100" s="3">
        <v>99</v>
      </c>
      <c r="B100" s="3" t="str">
        <f>HYPERLINK("https://www.kmpharma.in/product/35097","Amlodipine Nitroso Impurity 1")</f>
        <v>Amlodipine Nitroso Impurity 1</v>
      </c>
      <c r="C100" s="3" t="str">
        <f>HYPERLINK("https://www.kmpharma.in/product/35097","KMA011088")</f>
        <v>KMA011088</v>
      </c>
      <c r="D100" s="3" t="s">
        <v>7</v>
      </c>
      <c r="E100" s="5" t="s">
        <v>323</v>
      </c>
    </row>
    <row r="101" spans="1:5" x14ac:dyDescent="0.25">
      <c r="A101" s="6">
        <v>100</v>
      </c>
      <c r="B101" s="6" t="str">
        <f>HYPERLINK("https://www.kmpharma.in/product/35091","Amlodipine Nitroso N-Lactoside")</f>
        <v>Amlodipine Nitroso N-Lactoside</v>
      </c>
      <c r="C101" s="6" t="str">
        <f>HYPERLINK("https://www.kmpharma.in/product/35091","KMA011089")</f>
        <v>KMA011089</v>
      </c>
      <c r="D101" s="6" t="s">
        <v>7</v>
      </c>
      <c r="E101" s="7" t="s">
        <v>323</v>
      </c>
    </row>
    <row r="102" spans="1:5" x14ac:dyDescent="0.25">
      <c r="A102" s="3">
        <v>101</v>
      </c>
      <c r="B102" s="3" t="str">
        <f>HYPERLINK("https://www.kmpharma.in/product/1765","Amodiaquine Nitroso Impurity 1")</f>
        <v>Amodiaquine Nitroso Impurity 1</v>
      </c>
      <c r="C102" s="3" t="str">
        <f>HYPERLINK("https://www.kmpharma.in/product/1765","KMA126016")</f>
        <v>KMA126016</v>
      </c>
      <c r="D102" s="3" t="s">
        <v>7</v>
      </c>
      <c r="E102" s="5" t="s">
        <v>323</v>
      </c>
    </row>
    <row r="103" spans="1:5" x14ac:dyDescent="0.25">
      <c r="A103" s="6">
        <v>102</v>
      </c>
      <c r="B103" s="6" t="str">
        <f>HYPERLINK("https://www.kmpharma.in/product/2281","Apixaban Nitroso Impurity 1")</f>
        <v>Apixaban Nitroso Impurity 1</v>
      </c>
      <c r="C103" s="6" t="str">
        <f>HYPERLINK("https://www.kmpharma.in/product/2281","KMA013148")</f>
        <v>KMA013148</v>
      </c>
      <c r="D103" s="6" t="s">
        <v>7</v>
      </c>
      <c r="E103" s="7" t="s">
        <v>321</v>
      </c>
    </row>
    <row r="104" spans="1:5" x14ac:dyDescent="0.25">
      <c r="A104" s="3">
        <v>103</v>
      </c>
      <c r="B104" s="3" t="str">
        <f>HYPERLINK("https://www.kmpharma.in/product/2282","Apixaban Nitroso Impurity 2")</f>
        <v>Apixaban Nitroso Impurity 2</v>
      </c>
      <c r="C104" s="3" t="str">
        <f>HYPERLINK("https://www.kmpharma.in/product/2282","KMA013149")</f>
        <v>KMA013149</v>
      </c>
      <c r="D104" s="3" t="s">
        <v>7</v>
      </c>
      <c r="E104" s="5" t="s">
        <v>321</v>
      </c>
    </row>
    <row r="105" spans="1:5" x14ac:dyDescent="0.25">
      <c r="A105" s="6">
        <v>104</v>
      </c>
      <c r="B105" s="6" t="str">
        <f>HYPERLINK("https://www.kmpharma.in/product/2277","Apixaban Nitroso Impurity 3")</f>
        <v>Apixaban Nitroso Impurity 3</v>
      </c>
      <c r="C105" s="6" t="str">
        <f>HYPERLINK("https://www.kmpharma.in/product/2277","KMA013150")</f>
        <v>KMA013150</v>
      </c>
      <c r="D105" s="6" t="s">
        <v>7</v>
      </c>
      <c r="E105" s="7" t="s">
        <v>321</v>
      </c>
    </row>
    <row r="106" spans="1:5" x14ac:dyDescent="0.25">
      <c r="A106" s="3">
        <v>105</v>
      </c>
      <c r="B106" s="3" t="str">
        <f>HYPERLINK("https://www.kmpharma.in/product/2283","Apixaban Nitroso Impurity 4")</f>
        <v>Apixaban Nitroso Impurity 4</v>
      </c>
      <c r="C106" s="3" t="str">
        <f>HYPERLINK("https://www.kmpharma.in/product/2283","KMA013151")</f>
        <v>KMA013151</v>
      </c>
      <c r="D106" s="3" t="s">
        <v>7</v>
      </c>
      <c r="E106" s="3" t="s">
        <v>16</v>
      </c>
    </row>
    <row r="107" spans="1:5" x14ac:dyDescent="0.25">
      <c r="A107" s="6">
        <v>106</v>
      </c>
      <c r="B107" s="6" t="str">
        <f>HYPERLINK("https://www.kmpharma.in/product/2274","Apixaban Nitroso Impurity 5")</f>
        <v>Apixaban Nitroso Impurity 5</v>
      </c>
      <c r="C107" s="6" t="str">
        <f>HYPERLINK("https://www.kmpharma.in/product/2274","KMA013152")</f>
        <v>KMA013152</v>
      </c>
      <c r="D107" s="6" t="s">
        <v>7</v>
      </c>
      <c r="E107" s="7" t="s">
        <v>321</v>
      </c>
    </row>
    <row r="108" spans="1:5" x14ac:dyDescent="0.25">
      <c r="A108" s="3">
        <v>107</v>
      </c>
      <c r="B108" s="3" t="str">
        <f>HYPERLINK("https://www.kmpharma.in/product/2278","Apixaban Nitroso Impurity 6")</f>
        <v>Apixaban Nitroso Impurity 6</v>
      </c>
      <c r="C108" s="3" t="str">
        <f>HYPERLINK("https://www.kmpharma.in/product/2278","KMA013153")</f>
        <v>KMA013153</v>
      </c>
      <c r="D108" s="3" t="s">
        <v>7</v>
      </c>
      <c r="E108" s="5" t="s">
        <v>321</v>
      </c>
    </row>
    <row r="109" spans="1:5" x14ac:dyDescent="0.25">
      <c r="A109" s="6">
        <v>108</v>
      </c>
      <c r="B109" s="6" t="str">
        <f>HYPERLINK("https://www.kmpharma.in/product/2279","Apixaban Nitroso Impurity 7")</f>
        <v>Apixaban Nitroso Impurity 7</v>
      </c>
      <c r="C109" s="6" t="str">
        <f>HYPERLINK("https://www.kmpharma.in/product/2279","KMA013154")</f>
        <v>KMA013154</v>
      </c>
      <c r="D109" s="6" t="s">
        <v>7</v>
      </c>
      <c r="E109" s="7" t="s">
        <v>323</v>
      </c>
    </row>
    <row r="110" spans="1:5" x14ac:dyDescent="0.25">
      <c r="A110" s="3">
        <v>109</v>
      </c>
      <c r="B110" s="3" t="str">
        <f>HYPERLINK("https://www.kmpharma.in/product/2280","Apixaban Nitroso Impurity 8")</f>
        <v>Apixaban Nitroso Impurity 8</v>
      </c>
      <c r="C110" s="3" t="str">
        <f>HYPERLINK("https://www.kmpharma.in/product/2280","KMA013155")</f>
        <v>KMA013155</v>
      </c>
      <c r="D110" s="3" t="s">
        <v>7</v>
      </c>
      <c r="E110" s="5" t="s">
        <v>321</v>
      </c>
    </row>
    <row r="111" spans="1:5" x14ac:dyDescent="0.25">
      <c r="A111" s="6">
        <v>110</v>
      </c>
      <c r="B111" s="6" t="str">
        <f>HYPERLINK("https://www.kmpharma.in/product/2275","Apixaban Nitroso Impurity 9")</f>
        <v>Apixaban Nitroso Impurity 9</v>
      </c>
      <c r="C111" s="6" t="str">
        <f>HYPERLINK("https://www.kmpharma.in/product/2275","KMA013156")</f>
        <v>KMA013156</v>
      </c>
      <c r="D111" s="6" t="s">
        <v>7</v>
      </c>
      <c r="E111" s="7" t="s">
        <v>321</v>
      </c>
    </row>
    <row r="112" spans="1:5" x14ac:dyDescent="0.25">
      <c r="A112" s="3">
        <v>111</v>
      </c>
      <c r="B112" s="3" t="str">
        <f>HYPERLINK("https://www.kmpharma.in/product/2362","Apremilast Nitroso Impurity 1")</f>
        <v>Apremilast Nitroso Impurity 1</v>
      </c>
      <c r="C112" s="3" t="str">
        <f>HYPERLINK("https://www.kmpharma.in/product/2362","KMA014058")</f>
        <v>KMA014058</v>
      </c>
      <c r="D112" s="3" t="s">
        <v>7</v>
      </c>
      <c r="E112" s="5" t="s">
        <v>321</v>
      </c>
    </row>
    <row r="113" spans="1:5" x14ac:dyDescent="0.25">
      <c r="A113" s="6">
        <v>112</v>
      </c>
      <c r="B113" s="6" t="str">
        <f>HYPERLINK("https://www.kmpharma.in/product/2360","Apremilast Nitroso Impurity 2")</f>
        <v>Apremilast Nitroso Impurity 2</v>
      </c>
      <c r="C113" s="6" t="str">
        <f>HYPERLINK("https://www.kmpharma.in/product/2360","KMA014059")</f>
        <v>KMA014059</v>
      </c>
      <c r="D113" s="6" t="s">
        <v>7</v>
      </c>
      <c r="E113" s="7" t="s">
        <v>321</v>
      </c>
    </row>
    <row r="114" spans="1:5" x14ac:dyDescent="0.25">
      <c r="A114" s="3">
        <v>113</v>
      </c>
      <c r="B114" s="3" t="str">
        <f>HYPERLINK("https://www.kmpharma.in/product/2359","Apremilast Nitroso Impurity 3")</f>
        <v>Apremilast Nitroso Impurity 3</v>
      </c>
      <c r="C114" s="3" t="str">
        <f>HYPERLINK("https://www.kmpharma.in/product/2359","KMA014060")</f>
        <v>KMA014060</v>
      </c>
      <c r="D114" s="3" t="s">
        <v>7</v>
      </c>
      <c r="E114" s="3" t="s">
        <v>16</v>
      </c>
    </row>
    <row r="115" spans="1:5" x14ac:dyDescent="0.25">
      <c r="A115" s="6">
        <v>114</v>
      </c>
      <c r="B115" s="6" t="str">
        <f>HYPERLINK("https://www.kmpharma.in/product/2413","Aprepitant Nitroso Impurity 1")</f>
        <v>Aprepitant Nitroso Impurity 1</v>
      </c>
      <c r="C115" s="6" t="str">
        <f>HYPERLINK("https://www.kmpharma.in/product/2413","KMA159046")</f>
        <v>KMA159046</v>
      </c>
      <c r="D115" s="6" t="s">
        <v>7</v>
      </c>
      <c r="E115" s="7" t="s">
        <v>323</v>
      </c>
    </row>
    <row r="116" spans="1:5" x14ac:dyDescent="0.25">
      <c r="A116" s="3">
        <v>115</v>
      </c>
      <c r="B116" s="3" t="str">
        <f>HYPERLINK("https://www.kmpharma.in/product/2414","Aprepitant Nitroso Impurity 3")</f>
        <v>Aprepitant Nitroso Impurity 3</v>
      </c>
      <c r="C116" s="3" t="str">
        <f>HYPERLINK("https://www.kmpharma.in/product/2414","KMA159047")</f>
        <v>KMA159047</v>
      </c>
      <c r="D116" s="3" t="s">
        <v>7</v>
      </c>
      <c r="E116" s="3" t="s">
        <v>16</v>
      </c>
    </row>
    <row r="117" spans="1:5" x14ac:dyDescent="0.25">
      <c r="A117" s="6">
        <v>116</v>
      </c>
      <c r="B117" s="6" t="str">
        <f>HYPERLINK("https://www.kmpharma.in/product/2415","Aprepitant Nitroso Impurity 4")</f>
        <v>Aprepitant Nitroso Impurity 4</v>
      </c>
      <c r="C117" s="6" t="str">
        <f>HYPERLINK("https://www.kmpharma.in/product/2415","KMA159048")</f>
        <v>KMA159048</v>
      </c>
      <c r="D117" s="6" t="s">
        <v>36</v>
      </c>
      <c r="E117" s="7" t="s">
        <v>321</v>
      </c>
    </row>
    <row r="118" spans="1:5" x14ac:dyDescent="0.25">
      <c r="A118" s="3">
        <v>117</v>
      </c>
      <c r="B118" s="3" t="str">
        <f>HYPERLINK("https://www.kmpharma.in/product/2416","Aprepitant Nitroso Impurity 5")</f>
        <v>Aprepitant Nitroso Impurity 5</v>
      </c>
      <c r="C118" s="3" t="str">
        <f>HYPERLINK("https://www.kmpharma.in/product/2416","KMA159049")</f>
        <v>KMA159049</v>
      </c>
      <c r="D118" s="3" t="s">
        <v>7</v>
      </c>
      <c r="E118" s="3" t="s">
        <v>16</v>
      </c>
    </row>
    <row r="119" spans="1:5" x14ac:dyDescent="0.25">
      <c r="A119" s="6">
        <v>118</v>
      </c>
      <c r="B119" s="6" t="str">
        <f>HYPERLINK("https://www.kmpharma.in/product/2417","Aprepitant Nitroso Impurity 6")</f>
        <v>Aprepitant Nitroso Impurity 6</v>
      </c>
      <c r="C119" s="6" t="str">
        <f>HYPERLINK("https://www.kmpharma.in/product/2417","KMA159050")</f>
        <v>KMA159050</v>
      </c>
      <c r="D119" s="6" t="s">
        <v>7</v>
      </c>
      <c r="E119" s="6" t="s">
        <v>16</v>
      </c>
    </row>
    <row r="120" spans="1:5" x14ac:dyDescent="0.25">
      <c r="A120" s="3">
        <v>119</v>
      </c>
      <c r="B120" s="3" t="str">
        <f>HYPERLINK("https://www.kmpharma.in/product/2410","Aprepitant Nitroso Impurity 7")</f>
        <v>Aprepitant Nitroso Impurity 7</v>
      </c>
      <c r="C120" s="3" t="str">
        <f>HYPERLINK("https://www.kmpharma.in/product/2410","KMA159051")</f>
        <v>KMA159051</v>
      </c>
      <c r="D120" s="3" t="s">
        <v>37</v>
      </c>
      <c r="E120" s="5" t="s">
        <v>323</v>
      </c>
    </row>
    <row r="121" spans="1:5" x14ac:dyDescent="0.25">
      <c r="A121" s="6">
        <v>120</v>
      </c>
      <c r="B121" s="6" t="str">
        <f>HYPERLINK("https://www.kmpharma.in/product/35185","Aripiprazole Nitroso Impurity 1")</f>
        <v>Aripiprazole Nitroso Impurity 1</v>
      </c>
      <c r="C121" s="6" t="str">
        <f>HYPERLINK("https://www.kmpharma.in/product/35185","KMA015088")</f>
        <v>KMA015088</v>
      </c>
      <c r="D121" s="6" t="s">
        <v>7</v>
      </c>
      <c r="E121" s="6" t="s">
        <v>16</v>
      </c>
    </row>
    <row r="122" spans="1:5" x14ac:dyDescent="0.25">
      <c r="A122" s="3">
        <v>121</v>
      </c>
      <c r="B122" s="3" t="str">
        <f>HYPERLINK("https://www.kmpharma.in/product/35186","Aripiprazole Nitroso Impurity 2")</f>
        <v>Aripiprazole Nitroso Impurity 2</v>
      </c>
      <c r="C122" s="3" t="str">
        <f>HYPERLINK("https://www.kmpharma.in/product/35186","KMA015089")</f>
        <v>KMA015089</v>
      </c>
      <c r="D122" s="3" t="s">
        <v>7</v>
      </c>
      <c r="E122" s="5" t="s">
        <v>321</v>
      </c>
    </row>
    <row r="123" spans="1:5" x14ac:dyDescent="0.25">
      <c r="A123" s="6">
        <v>122</v>
      </c>
      <c r="B123" s="6" t="str">
        <f>HYPERLINK("https://www.kmpharma.in/product/35187","Aripiprazole Nitroso Impurity 3")</f>
        <v>Aripiprazole Nitroso Impurity 3</v>
      </c>
      <c r="C123" s="6" t="str">
        <f>HYPERLINK("https://www.kmpharma.in/product/35187","KMA015090")</f>
        <v>KMA015090</v>
      </c>
      <c r="D123" s="6" t="s">
        <v>7</v>
      </c>
      <c r="E123" s="7" t="s">
        <v>321</v>
      </c>
    </row>
    <row r="124" spans="1:5" x14ac:dyDescent="0.25">
      <c r="A124" s="3">
        <v>123</v>
      </c>
      <c r="B124" s="3" t="str">
        <f>HYPERLINK("https://www.kmpharma.in/product/35188","Aripiprazole Nitroso Impurity 4")</f>
        <v>Aripiprazole Nitroso Impurity 4</v>
      </c>
      <c r="C124" s="3" t="str">
        <f>HYPERLINK("https://www.kmpharma.in/product/35188","KMA015091")</f>
        <v>KMA015091</v>
      </c>
      <c r="D124" s="3" t="s">
        <v>7</v>
      </c>
      <c r="E124" s="5" t="s">
        <v>321</v>
      </c>
    </row>
    <row r="125" spans="1:5" x14ac:dyDescent="0.25">
      <c r="A125" s="6">
        <v>124</v>
      </c>
      <c r="B125" s="6" t="str">
        <f>HYPERLINK("https://www.kmpharma.in/product/35189","Aripiprazole Nitroso Impurity 5")</f>
        <v>Aripiprazole Nitroso Impurity 5</v>
      </c>
      <c r="C125" s="6" t="str">
        <f>HYPERLINK("https://www.kmpharma.in/product/35189","KMA015092")</f>
        <v>KMA015092</v>
      </c>
      <c r="D125" s="6" t="s">
        <v>7</v>
      </c>
      <c r="E125" s="7" t="s">
        <v>321</v>
      </c>
    </row>
    <row r="126" spans="1:5" x14ac:dyDescent="0.25">
      <c r="A126" s="3">
        <v>125</v>
      </c>
      <c r="B126" s="3" t="str">
        <f>HYPERLINK("https://www.kmpharma.in/product/35279","Atazanavir Nitroso D1 Impurity")</f>
        <v>Atazanavir Nitroso D1 Impurity</v>
      </c>
      <c r="C126" s="3" t="str">
        <f>HYPERLINK("https://www.kmpharma.in/product/35279","KMA185068")</f>
        <v>KMA185068</v>
      </c>
      <c r="D126" s="3" t="s">
        <v>7</v>
      </c>
      <c r="E126" s="5" t="s">
        <v>321</v>
      </c>
    </row>
    <row r="127" spans="1:5" x14ac:dyDescent="0.25">
      <c r="A127" s="6">
        <v>126</v>
      </c>
      <c r="B127" s="6" t="str">
        <f>HYPERLINK("https://www.kmpharma.in/product/35280","Atazanavir Nitroso D3 Impurity")</f>
        <v>Atazanavir Nitroso D3 Impurity</v>
      </c>
      <c r="C127" s="6" t="str">
        <f>HYPERLINK("https://www.kmpharma.in/product/35280","KMA185069")</f>
        <v>KMA185069</v>
      </c>
      <c r="D127" s="6" t="s">
        <v>7</v>
      </c>
      <c r="E127" s="7" t="s">
        <v>321</v>
      </c>
    </row>
    <row r="128" spans="1:5" x14ac:dyDescent="0.25">
      <c r="A128" s="3">
        <v>127</v>
      </c>
      <c r="B128" s="3" t="str">
        <f>HYPERLINK("https://www.kmpharma.in/product/35282","Atazanavir Nitroso D6 Impurity (Possibility 1)")</f>
        <v>Atazanavir Nitroso D6 Impurity (Possibility 1)</v>
      </c>
      <c r="C128" s="3" t="str">
        <f>HYPERLINK("https://www.kmpharma.in/product/35282","KMA185070")</f>
        <v>KMA185070</v>
      </c>
      <c r="D128" s="3" t="s">
        <v>7</v>
      </c>
      <c r="E128" s="5" t="s">
        <v>323</v>
      </c>
    </row>
    <row r="129" spans="1:5" x14ac:dyDescent="0.25">
      <c r="A129" s="6">
        <v>128</v>
      </c>
      <c r="B129" s="6" t="str">
        <f>HYPERLINK("https://www.kmpharma.in/product/35275","Atazanavir Nitroso D6 Impurity (Possibility 2)")</f>
        <v>Atazanavir Nitroso D6 Impurity (Possibility 2)</v>
      </c>
      <c r="C129" s="6" t="str">
        <f>HYPERLINK("https://www.kmpharma.in/product/35275","KMA185071")</f>
        <v>KMA185071</v>
      </c>
      <c r="D129" s="6" t="s">
        <v>7</v>
      </c>
      <c r="E129" s="7" t="s">
        <v>321</v>
      </c>
    </row>
    <row r="130" spans="1:5" x14ac:dyDescent="0.25">
      <c r="A130" s="3">
        <v>129</v>
      </c>
      <c r="B130" s="3" t="str">
        <f>HYPERLINK("https://www.kmpharma.in/product/35283","Atazanavir Nitroso Impurity 1")</f>
        <v>Atazanavir Nitroso Impurity 1</v>
      </c>
      <c r="C130" s="3" t="str">
        <f>HYPERLINK("https://www.kmpharma.in/product/35283","KMA185072")</f>
        <v>KMA185072</v>
      </c>
      <c r="D130" s="3" t="s">
        <v>7</v>
      </c>
      <c r="E130" s="5" t="s">
        <v>321</v>
      </c>
    </row>
    <row r="131" spans="1:5" x14ac:dyDescent="0.25">
      <c r="A131" s="6">
        <v>130</v>
      </c>
      <c r="B131" s="6" t="str">
        <f>HYPERLINK("https://www.kmpharma.in/product/2799","Atomoxetine Nitroso Impurity 1")</f>
        <v>Atomoxetine Nitroso Impurity 1</v>
      </c>
      <c r="C131" s="6" t="str">
        <f>HYPERLINK("https://www.kmpharma.in/product/2799","KMA031025")</f>
        <v>KMA031025</v>
      </c>
      <c r="D131" s="6" t="s">
        <v>7</v>
      </c>
      <c r="E131" s="7" t="s">
        <v>322</v>
      </c>
    </row>
    <row r="132" spans="1:5" x14ac:dyDescent="0.25">
      <c r="A132" s="3">
        <v>131</v>
      </c>
      <c r="B132" s="3" t="str">
        <f>HYPERLINK("https://www.kmpharma.in/product/2935","Atorvastatin Nitroso Impurity 1")</f>
        <v>Atorvastatin Nitroso Impurity 1</v>
      </c>
      <c r="C132" s="3" t="str">
        <f>HYPERLINK("https://www.kmpharma.in/product/2935","KMA002133")</f>
        <v>KMA002133</v>
      </c>
      <c r="D132" s="3" t="s">
        <v>7</v>
      </c>
      <c r="E132" s="5" t="s">
        <v>321</v>
      </c>
    </row>
    <row r="133" spans="1:5" x14ac:dyDescent="0.25">
      <c r="A133" s="6">
        <v>132</v>
      </c>
      <c r="B133" s="6" t="str">
        <f>HYPERLINK("https://www.kmpharma.in/product/3169","Avatrombopag Nitroso Impurity 1")</f>
        <v>Avatrombopag Nitroso Impurity 1</v>
      </c>
      <c r="C133" s="6" t="str">
        <f>HYPERLINK("https://www.kmpharma.in/product/3169","KMA198024")</f>
        <v>KMA198024</v>
      </c>
      <c r="D133" s="6" t="s">
        <v>7</v>
      </c>
      <c r="E133" s="7" t="s">
        <v>321</v>
      </c>
    </row>
    <row r="134" spans="1:5" x14ac:dyDescent="0.25">
      <c r="A134" s="3">
        <v>133</v>
      </c>
      <c r="B134" s="3" t="str">
        <f>HYPERLINK("https://www.kmpharma.in/product/3277","Axitinib Nitroso Impurity 2")</f>
        <v>Axitinib Nitroso Impurity 2</v>
      </c>
      <c r="C134" s="3" t="str">
        <f>HYPERLINK("https://www.kmpharma.in/product/3277","KMA203042")</f>
        <v>KMA203042</v>
      </c>
      <c r="D134" s="3" t="s">
        <v>7</v>
      </c>
      <c r="E134" s="5" t="s">
        <v>321</v>
      </c>
    </row>
    <row r="135" spans="1:5" x14ac:dyDescent="0.25">
      <c r="A135" s="6">
        <v>134</v>
      </c>
      <c r="B135" s="6" t="str">
        <f>HYPERLINK("https://www.kmpharma.in/product/3278","Axitinib Nitroso Impurity 3")</f>
        <v>Axitinib Nitroso Impurity 3</v>
      </c>
      <c r="C135" s="6" t="str">
        <f>HYPERLINK("https://www.kmpharma.in/product/3278","KMA203043")</f>
        <v>KMA203043</v>
      </c>
      <c r="D135" s="6" t="s">
        <v>7</v>
      </c>
      <c r="E135" s="7" t="s">
        <v>321</v>
      </c>
    </row>
    <row r="136" spans="1:5" x14ac:dyDescent="0.25">
      <c r="A136" s="3">
        <v>135</v>
      </c>
      <c r="B136" s="3" t="str">
        <f>HYPERLINK("https://www.kmpharma.in/product/3279","Axitinib Nitroso Impurity 4")</f>
        <v>Axitinib Nitroso Impurity 4</v>
      </c>
      <c r="C136" s="3" t="str">
        <f>HYPERLINK("https://www.kmpharma.in/product/3279","KMA203044")</f>
        <v>KMA203044</v>
      </c>
      <c r="D136" s="3" t="s">
        <v>7</v>
      </c>
      <c r="E136" s="5" t="s">
        <v>321</v>
      </c>
    </row>
    <row r="137" spans="1:5" x14ac:dyDescent="0.25">
      <c r="A137" s="6">
        <v>136</v>
      </c>
      <c r="B137" s="6" t="str">
        <f>HYPERLINK("https://www.kmpharma.in/product/3358","Azathioprine Nitroso Impurity")</f>
        <v>Azathioprine Nitroso Impurity</v>
      </c>
      <c r="C137" s="6" t="str">
        <f>HYPERLINK("https://www.kmpharma.in/product/3358","KMA020012")</f>
        <v>KMA020012</v>
      </c>
      <c r="D137" s="6" t="s">
        <v>7</v>
      </c>
      <c r="E137" s="7" t="s">
        <v>321</v>
      </c>
    </row>
    <row r="138" spans="1:5" x14ac:dyDescent="0.25">
      <c r="A138" s="3">
        <v>137</v>
      </c>
      <c r="B138" s="3" t="str">
        <f>HYPERLINK("https://www.kmpharma.in/product/3356","Azathioprine Nitroso Impurity 2")</f>
        <v>Azathioprine Nitroso Impurity 2</v>
      </c>
      <c r="C138" s="3" t="str">
        <f>HYPERLINK("https://www.kmpharma.in/product/3356","KMA020013")</f>
        <v>KMA020013</v>
      </c>
      <c r="D138" s="3" t="s">
        <v>7</v>
      </c>
      <c r="E138" s="5" t="s">
        <v>323</v>
      </c>
    </row>
    <row r="139" spans="1:5" x14ac:dyDescent="0.25">
      <c r="A139" s="6">
        <v>138</v>
      </c>
      <c r="B139" s="6" t="str">
        <f>HYPERLINK("https://www.kmpharma.in/product/3397","Azelastine Nitroso Impurity 1")</f>
        <v>Azelastine Nitroso Impurity 1</v>
      </c>
      <c r="C139" s="6" t="str">
        <f>HYPERLINK("https://www.kmpharma.in/product/3397","KMA032022")</f>
        <v>KMA032022</v>
      </c>
      <c r="D139" s="6" t="s">
        <v>7</v>
      </c>
      <c r="E139" s="7" t="s">
        <v>321</v>
      </c>
    </row>
    <row r="140" spans="1:5" x14ac:dyDescent="0.25">
      <c r="A140" s="3">
        <v>139</v>
      </c>
      <c r="B140" s="3" t="str">
        <f>HYPERLINK("https://www.kmpharma.in/product/3475","Azilsartan Ethyl Nitroso Impurity")</f>
        <v>Azilsartan Ethyl Nitroso Impurity</v>
      </c>
      <c r="C140" s="3" t="str">
        <f>HYPERLINK("https://www.kmpharma.in/product/3475","KMA211006")</f>
        <v>KMA211006</v>
      </c>
      <c r="D140" s="3" t="s">
        <v>7</v>
      </c>
      <c r="E140" s="5" t="s">
        <v>323</v>
      </c>
    </row>
    <row r="141" spans="1:5" x14ac:dyDescent="0.25">
      <c r="A141" s="6">
        <v>140</v>
      </c>
      <c r="B141" s="6" t="str">
        <f>HYPERLINK("https://www.kmpharma.in/product/3477","Azilsartan Nitroso Impurity 1")</f>
        <v>Azilsartan Nitroso Impurity 1</v>
      </c>
      <c r="C141" s="6" t="str">
        <f>HYPERLINK("https://www.kmpharma.in/product/3477","KMA211070")</f>
        <v>KMA211070</v>
      </c>
      <c r="D141" s="6" t="s">
        <v>7</v>
      </c>
      <c r="E141" s="6" t="s">
        <v>16</v>
      </c>
    </row>
    <row r="142" spans="1:5" x14ac:dyDescent="0.25">
      <c r="A142" s="3">
        <v>141</v>
      </c>
      <c r="B142" s="3" t="str">
        <f>HYPERLINK("https://www.kmpharma.in/product/3472","Azilsartan Nitroso Impurity 2")</f>
        <v>Azilsartan Nitroso Impurity 2</v>
      </c>
      <c r="C142" s="3" t="str">
        <f>HYPERLINK("https://www.kmpharma.in/product/3472","KMA211071")</f>
        <v>KMA211071</v>
      </c>
      <c r="D142" s="3" t="s">
        <v>7</v>
      </c>
      <c r="E142" s="5" t="s">
        <v>323</v>
      </c>
    </row>
    <row r="143" spans="1:5" x14ac:dyDescent="0.25">
      <c r="A143" s="6">
        <v>142</v>
      </c>
      <c r="B143" s="6" t="str">
        <f>HYPERLINK("https://www.kmpharma.in/product/3473","Azilsartan Nitroso Impurity 3")</f>
        <v>Azilsartan Nitroso Impurity 3</v>
      </c>
      <c r="C143" s="6" t="str">
        <f>HYPERLINK("https://www.kmpharma.in/product/3473","KMA211072")</f>
        <v>KMA211072</v>
      </c>
      <c r="D143" s="6" t="s">
        <v>7</v>
      </c>
      <c r="E143" s="7" t="s">
        <v>323</v>
      </c>
    </row>
    <row r="144" spans="1:5" x14ac:dyDescent="0.25">
      <c r="A144" s="3">
        <v>143</v>
      </c>
      <c r="B144" s="3" t="str">
        <f>HYPERLINK("https://www.kmpharma.in/product/3474","Azilsartan Nitroso Impurity 4")</f>
        <v>Azilsartan Nitroso Impurity 4</v>
      </c>
      <c r="C144" s="3" t="str">
        <f>HYPERLINK("https://www.kmpharma.in/product/3474","KMA211073")</f>
        <v>KMA211073</v>
      </c>
      <c r="D144" s="3" t="s">
        <v>7</v>
      </c>
      <c r="E144" s="5" t="s">
        <v>323</v>
      </c>
    </row>
    <row r="145" spans="1:5" x14ac:dyDescent="0.25">
      <c r="A145" s="6">
        <v>144</v>
      </c>
      <c r="B145" s="6" t="str">
        <f>HYPERLINK("https://www.kmpharma.in/product/3476","Azilsartan Nitroso Impurity 5")</f>
        <v>Azilsartan Nitroso Impurity 5</v>
      </c>
      <c r="C145" s="6" t="str">
        <f>HYPERLINK("https://www.kmpharma.in/product/3476","KMA211074")</f>
        <v>KMA211074</v>
      </c>
      <c r="D145" s="6" t="s">
        <v>7</v>
      </c>
      <c r="E145" s="7" t="s">
        <v>323</v>
      </c>
    </row>
    <row r="146" spans="1:5" x14ac:dyDescent="0.25">
      <c r="A146" s="3">
        <v>145</v>
      </c>
      <c r="B146" s="3" t="str">
        <f>HYPERLINK("https://www.kmpharma.in/product/35344","Baricitinib Nitroso Impurity 1")</f>
        <v>Baricitinib Nitroso Impurity 1</v>
      </c>
      <c r="C146" s="3" t="str">
        <f>HYPERLINK("https://www.kmpharma.in/product/35344","KMB027048")</f>
        <v>KMB027048</v>
      </c>
      <c r="D146" s="3" t="s">
        <v>7</v>
      </c>
      <c r="E146" s="5" t="s">
        <v>325</v>
      </c>
    </row>
    <row r="147" spans="1:5" x14ac:dyDescent="0.25">
      <c r="A147" s="6">
        <v>146</v>
      </c>
      <c r="B147" s="6" t="str">
        <f>HYPERLINK("https://www.kmpharma.in/product/35345","Baricitinib Nitroso Impurity 2")</f>
        <v>Baricitinib Nitroso Impurity 2</v>
      </c>
      <c r="C147" s="6" t="str">
        <f>HYPERLINK("https://www.kmpharma.in/product/35345","KMB027049")</f>
        <v>KMB027049</v>
      </c>
      <c r="D147" s="6" t="s">
        <v>7</v>
      </c>
      <c r="E147" s="7" t="s">
        <v>321</v>
      </c>
    </row>
    <row r="148" spans="1:5" x14ac:dyDescent="0.25">
      <c r="A148" s="3">
        <v>147</v>
      </c>
      <c r="B148" s="3" t="str">
        <f>HYPERLINK("https://www.kmpharma.in/product/35346","Baricitinib Nitroso Impurity 3")</f>
        <v>Baricitinib Nitroso Impurity 3</v>
      </c>
      <c r="C148" s="3" t="str">
        <f>HYPERLINK("https://www.kmpharma.in/product/35346","KMB027050")</f>
        <v>KMB027050</v>
      </c>
      <c r="D148" s="3" t="s">
        <v>7</v>
      </c>
      <c r="E148" s="5" t="s">
        <v>323</v>
      </c>
    </row>
    <row r="149" spans="1:5" x14ac:dyDescent="0.25">
      <c r="A149" s="6">
        <v>148</v>
      </c>
      <c r="B149" s="6" t="str">
        <f>HYPERLINK("https://www.kmpharma.in/product/35347","Baricitinib Nitroso Impurity 4")</f>
        <v>Baricitinib Nitroso Impurity 4</v>
      </c>
      <c r="C149" s="6" t="str">
        <f>HYPERLINK("https://www.kmpharma.in/product/35347","KMB027051")</f>
        <v>KMB027051</v>
      </c>
      <c r="D149" s="6" t="s">
        <v>7</v>
      </c>
      <c r="E149" s="7" t="s">
        <v>321</v>
      </c>
    </row>
    <row r="150" spans="1:5" x14ac:dyDescent="0.25">
      <c r="A150" s="3">
        <v>149</v>
      </c>
      <c r="B150" s="3" t="str">
        <f>HYPERLINK("https://www.kmpharma.in/product/3698","Barnidipine Nitroso Impurity")</f>
        <v>Barnidipine Nitroso Impurity</v>
      </c>
      <c r="C150" s="3" t="str">
        <f>HYPERLINK("https://www.kmpharma.in/product/3698","KMB028008")</f>
        <v>KMB028008</v>
      </c>
      <c r="D150" s="3" t="s">
        <v>7</v>
      </c>
      <c r="E150" s="5" t="s">
        <v>321</v>
      </c>
    </row>
    <row r="151" spans="1:5" x14ac:dyDescent="0.25">
      <c r="A151" s="6">
        <v>150</v>
      </c>
      <c r="B151" s="6" t="str">
        <f>HYPERLINK("https://www.kmpharma.in/product/3772","Bedaquiline Nitroso Impurity 1")</f>
        <v>Bedaquiline Nitroso Impurity 1</v>
      </c>
      <c r="C151" s="6" t="str">
        <f>HYPERLINK("https://www.kmpharma.in/product/3772","KMB031019")</f>
        <v>KMB031019</v>
      </c>
      <c r="D151" s="6" t="s">
        <v>7</v>
      </c>
      <c r="E151" s="7" t="s">
        <v>323</v>
      </c>
    </row>
    <row r="152" spans="1:5" x14ac:dyDescent="0.25">
      <c r="A152" s="3">
        <v>151</v>
      </c>
      <c r="B152" s="3" t="str">
        <f>HYPERLINK("https://www.kmpharma.in/product/3891","Benethamine Penicillin Nitroso Impurity")</f>
        <v>Benethamine Penicillin Nitroso Impurity</v>
      </c>
      <c r="C152" s="3" t="str">
        <f>HYPERLINK("https://www.kmpharma.in/product/3891","KMB039002")</f>
        <v>KMB039002</v>
      </c>
      <c r="D152" s="3" t="s">
        <v>7</v>
      </c>
      <c r="E152" s="5" t="s">
        <v>321</v>
      </c>
    </row>
    <row r="153" spans="1:5" x14ac:dyDescent="0.25">
      <c r="A153" s="6">
        <v>152</v>
      </c>
      <c r="B153" s="6" t="str">
        <f>HYPERLINK("https://www.kmpharma.in/product/3909","Benidipine Nitroso Impurity")</f>
        <v>Benidipine Nitroso Impurity</v>
      </c>
      <c r="C153" s="6" t="str">
        <f>HYPERLINK("https://www.kmpharma.in/product/3909","KMB005011")</f>
        <v>KMB005011</v>
      </c>
      <c r="D153" s="6" t="s">
        <v>7</v>
      </c>
      <c r="E153" s="6" t="s">
        <v>16</v>
      </c>
    </row>
    <row r="154" spans="1:5" x14ac:dyDescent="0.25">
      <c r="A154" s="3">
        <v>153</v>
      </c>
      <c r="B154" s="3" t="str">
        <f>HYPERLINK("https://www.kmpharma.in/product/25267","Benzathine Nitroso Impurity 1")</f>
        <v>Benzathine Nitroso Impurity 1</v>
      </c>
      <c r="C154" s="3" t="str">
        <f>HYPERLINK("https://www.kmpharma.in/product/25267","KMP016015")</f>
        <v>KMP016015</v>
      </c>
      <c r="D154" s="3" t="s">
        <v>7</v>
      </c>
      <c r="E154" s="5" t="s">
        <v>321</v>
      </c>
    </row>
    <row r="155" spans="1:5" x14ac:dyDescent="0.25">
      <c r="A155" s="6">
        <v>154</v>
      </c>
      <c r="B155" s="6" t="str">
        <f>HYPERLINK("https://www.kmpharma.in/product/25268","Benzathine Nitroso Impurity 2")</f>
        <v>Benzathine Nitroso Impurity 2</v>
      </c>
      <c r="C155" s="6" t="str">
        <f>HYPERLINK("https://www.kmpharma.in/product/25268","KMP016016")</f>
        <v>KMP016016</v>
      </c>
      <c r="D155" s="6" t="s">
        <v>38</v>
      </c>
      <c r="E155" s="7" t="s">
        <v>321</v>
      </c>
    </row>
    <row r="156" spans="1:5" x14ac:dyDescent="0.25">
      <c r="A156" s="3">
        <v>155</v>
      </c>
      <c r="B156" s="3" t="str">
        <f>HYPERLINK("https://www.kmpharma.in/product/4062","Benzydamine Nitroso Impurity 1")</f>
        <v>Benzydamine Nitroso Impurity 1</v>
      </c>
      <c r="C156" s="3" t="str">
        <f>HYPERLINK("https://www.kmpharma.in/product/4062","KMB018014")</f>
        <v>KMB018014</v>
      </c>
      <c r="D156" s="3" t="s">
        <v>7</v>
      </c>
      <c r="E156" s="5" t="s">
        <v>321</v>
      </c>
    </row>
    <row r="157" spans="1:5" x14ac:dyDescent="0.25">
      <c r="A157" s="6">
        <v>156</v>
      </c>
      <c r="B157" s="6" t="str">
        <f>HYPERLINK("https://www.kmpharma.in/product/4077","Bepotastine Nitroso Impurity 1")</f>
        <v>Bepotastine Nitroso Impurity 1</v>
      </c>
      <c r="C157" s="6" t="str">
        <f>HYPERLINK("https://www.kmpharma.in/product/4077","KMB055011")</f>
        <v>KMB055011</v>
      </c>
      <c r="D157" s="6" t="s">
        <v>7</v>
      </c>
      <c r="E157" s="7" t="s">
        <v>323</v>
      </c>
    </row>
    <row r="158" spans="1:5" x14ac:dyDescent="0.25">
      <c r="A158" s="3">
        <v>157</v>
      </c>
      <c r="B158" s="3" t="str">
        <f>HYPERLINK("https://www.kmpharma.in/product/4078","Bepotastine Nitroso Impurity 2")</f>
        <v>Bepotastine Nitroso Impurity 2</v>
      </c>
      <c r="C158" s="3" t="str">
        <f>HYPERLINK("https://www.kmpharma.in/product/4078","KMB055012")</f>
        <v>KMB055012</v>
      </c>
      <c r="D158" s="3" t="s">
        <v>7</v>
      </c>
      <c r="E158" s="5" t="s">
        <v>321</v>
      </c>
    </row>
    <row r="159" spans="1:5" x14ac:dyDescent="0.25">
      <c r="A159" s="6">
        <v>158</v>
      </c>
      <c r="B159" s="6" t="str">
        <f>HYPERLINK("https://www.kmpharma.in/product/4120","Betahistine Nitroso Methylamine 13CD3")</f>
        <v>Betahistine Nitroso Methylamine 13CD3</v>
      </c>
      <c r="C159" s="6" t="str">
        <f>HYPERLINK("https://www.kmpharma.in/product/4120","KMB006022")</f>
        <v>KMB006022</v>
      </c>
      <c r="D159" s="6" t="s">
        <v>7</v>
      </c>
      <c r="E159" s="7" t="s">
        <v>321</v>
      </c>
    </row>
    <row r="160" spans="1:5" x14ac:dyDescent="0.25">
      <c r="A160" s="3">
        <v>159</v>
      </c>
      <c r="B160" s="3" t="str">
        <f>HYPERLINK("https://www.kmpharma.in/product/4124","Betahistine Nitroso Methylamine Impurity")</f>
        <v>Betahistine Nitroso Methylamine Impurity</v>
      </c>
      <c r="C160" s="3" t="str">
        <f>HYPERLINK("https://www.kmpharma.in/product/4124","KMB006023")</f>
        <v>KMB006023</v>
      </c>
      <c r="D160" s="3" t="s">
        <v>7</v>
      </c>
      <c r="E160" s="5" t="s">
        <v>321</v>
      </c>
    </row>
    <row r="161" spans="1:5" x14ac:dyDescent="0.25">
      <c r="A161" s="6">
        <v>160</v>
      </c>
      <c r="B161" s="6" t="str">
        <f>HYPERLINK("https://www.kmpharma.in/product/4445","Bilastine Nitroso Impurity 1")</f>
        <v>Bilastine Nitroso Impurity 1</v>
      </c>
      <c r="C161" s="6" t="str">
        <f>HYPERLINK("https://www.kmpharma.in/product/4445","KMB007049")</f>
        <v>KMB007049</v>
      </c>
      <c r="D161" s="6" t="s">
        <v>39</v>
      </c>
      <c r="E161" s="7" t="s">
        <v>321</v>
      </c>
    </row>
    <row r="162" spans="1:5" x14ac:dyDescent="0.25">
      <c r="A162" s="3">
        <v>161</v>
      </c>
      <c r="B162" s="3" t="str">
        <f>HYPERLINK("https://www.kmpharma.in/product/4446","Bilastine Nitroso Impurity 2")</f>
        <v>Bilastine Nitroso Impurity 2</v>
      </c>
      <c r="C162" s="3" t="str">
        <f>HYPERLINK("https://www.kmpharma.in/product/4446","KMB007050")</f>
        <v>KMB007050</v>
      </c>
      <c r="D162" s="3" t="s">
        <v>7</v>
      </c>
      <c r="E162" s="3" t="s">
        <v>16</v>
      </c>
    </row>
    <row r="163" spans="1:5" x14ac:dyDescent="0.25">
      <c r="A163" s="6">
        <v>162</v>
      </c>
      <c r="B163" s="6" t="str">
        <f>HYPERLINK("https://www.kmpharma.in/product/4447","Bilastine Nitroso Impurity 3")</f>
        <v>Bilastine Nitroso Impurity 3</v>
      </c>
      <c r="C163" s="6" t="str">
        <f>HYPERLINK("https://www.kmpharma.in/product/4447","KMB007051")</f>
        <v>KMB007051</v>
      </c>
      <c r="D163" s="6" t="s">
        <v>7</v>
      </c>
      <c r="E163" s="7" t="s">
        <v>323</v>
      </c>
    </row>
    <row r="164" spans="1:5" x14ac:dyDescent="0.25">
      <c r="A164" s="3">
        <v>163</v>
      </c>
      <c r="B164" s="3" t="str">
        <f>HYPERLINK("https://www.kmpharma.in/product/4505","Binimetinib Acid Nitroso Impurity")</f>
        <v>Binimetinib Acid Nitroso Impurity</v>
      </c>
      <c r="C164" s="3" t="str">
        <f>HYPERLINK("https://www.kmpharma.in/product/4505","KMB078003")</f>
        <v>KMB078003</v>
      </c>
      <c r="D164" s="3" t="s">
        <v>7</v>
      </c>
      <c r="E164" s="5" t="s">
        <v>321</v>
      </c>
    </row>
    <row r="165" spans="1:5" x14ac:dyDescent="0.25">
      <c r="A165" s="6">
        <v>164</v>
      </c>
      <c r="B165" s="6" t="str">
        <f>HYPERLINK("https://www.kmpharma.in/product/4503","Binimetinib Methyl Ester Nitroso Impurity")</f>
        <v>Binimetinib Methyl Ester Nitroso Impurity</v>
      </c>
      <c r="C165" s="6" t="str">
        <f>HYPERLINK("https://www.kmpharma.in/product/4503","KMB078028")</f>
        <v>KMB078028</v>
      </c>
      <c r="D165" s="6" t="s">
        <v>7</v>
      </c>
      <c r="E165" s="6" t="s">
        <v>16</v>
      </c>
    </row>
    <row r="166" spans="1:5" x14ac:dyDescent="0.25">
      <c r="A166" s="3">
        <v>165</v>
      </c>
      <c r="B166" s="3" t="str">
        <f>HYPERLINK("https://www.kmpharma.in/product/4506","Binimetinib Nitroso Amide Impurity")</f>
        <v>Binimetinib Nitroso Amide Impurity</v>
      </c>
      <c r="C166" s="3" t="str">
        <f>HYPERLINK("https://www.kmpharma.in/product/4506","KMB078029")</f>
        <v>KMB078029</v>
      </c>
      <c r="D166" s="3" t="s">
        <v>7</v>
      </c>
      <c r="E166" s="3" t="s">
        <v>16</v>
      </c>
    </row>
    <row r="167" spans="1:5" x14ac:dyDescent="0.25">
      <c r="A167" s="6">
        <v>166</v>
      </c>
      <c r="B167" s="6" t="str">
        <f>HYPERLINK("https://www.kmpharma.in/product/4504","Binimetinib Nitroso Impurity 1")</f>
        <v>Binimetinib Nitroso Impurity 1</v>
      </c>
      <c r="C167" s="6" t="str">
        <f>HYPERLINK("https://www.kmpharma.in/product/4504","KMB078030")</f>
        <v>KMB078030</v>
      </c>
      <c r="D167" s="6" t="s">
        <v>7</v>
      </c>
      <c r="E167" s="6" t="s">
        <v>16</v>
      </c>
    </row>
    <row r="168" spans="1:5" x14ac:dyDescent="0.25">
      <c r="A168" s="3">
        <v>167</v>
      </c>
      <c r="B168" s="3" t="str">
        <f>HYPERLINK("https://www.kmpharma.in/product/4715","Bosutinib Nitroso Impurity 1")</f>
        <v>Bosutinib Nitroso Impurity 1</v>
      </c>
      <c r="C168" s="3" t="str">
        <f>HYPERLINK("https://www.kmpharma.in/product/4715","KMB015024")</f>
        <v>KMB015024</v>
      </c>
      <c r="D168" s="3" t="s">
        <v>7</v>
      </c>
      <c r="E168" s="3" t="s">
        <v>16</v>
      </c>
    </row>
    <row r="169" spans="1:5" x14ac:dyDescent="0.25">
      <c r="A169" s="6">
        <v>168</v>
      </c>
      <c r="B169" s="6" t="str">
        <f>HYPERLINK("https://www.kmpharma.in/product/4809","Brexpiprazole Nitroso Impurity 1")</f>
        <v>Brexpiprazole Nitroso Impurity 1</v>
      </c>
      <c r="C169" s="6" t="str">
        <f>HYPERLINK("https://www.kmpharma.in/product/4809","KMB001081")</f>
        <v>KMB001081</v>
      </c>
      <c r="D169" s="6" t="s">
        <v>40</v>
      </c>
      <c r="E169" s="7" t="s">
        <v>326</v>
      </c>
    </row>
    <row r="170" spans="1:5" x14ac:dyDescent="0.25">
      <c r="A170" s="3">
        <v>169</v>
      </c>
      <c r="B170" s="3" t="str">
        <f>HYPERLINK("https://www.kmpharma.in/product/517","Brexpiprazole Nitroso Impurity 2")</f>
        <v>Brexpiprazole Nitroso Impurity 2</v>
      </c>
      <c r="C170" s="3" t="str">
        <f>HYPERLINK("https://www.kmpharma.in/product/517","KMB001002")</f>
        <v>KMB001002</v>
      </c>
      <c r="D170" s="3" t="s">
        <v>35</v>
      </c>
      <c r="E170" s="3" t="s">
        <v>16</v>
      </c>
    </row>
    <row r="171" spans="1:5" x14ac:dyDescent="0.25">
      <c r="A171" s="6">
        <v>170</v>
      </c>
      <c r="B171" s="6" t="str">
        <f>HYPERLINK("https://www.kmpharma.in/product/35494","Brexpiprazole Nitroso Impurity 2")</f>
        <v>Brexpiprazole Nitroso Impurity 2</v>
      </c>
      <c r="C171" s="6" t="str">
        <f>HYPERLINK("https://www.kmpharma.in/product/35494","KMB001082")</f>
        <v>KMB001082</v>
      </c>
      <c r="D171" s="6" t="s">
        <v>7</v>
      </c>
      <c r="E171" s="7" t="s">
        <v>323</v>
      </c>
    </row>
    <row r="172" spans="1:5" x14ac:dyDescent="0.25">
      <c r="A172" s="3">
        <v>171</v>
      </c>
      <c r="B172" s="3" t="str">
        <f>HYPERLINK("https://www.kmpharma.in/product/4819","Brigatinib Nitroso Impurity")</f>
        <v>Brigatinib Nitroso Impurity</v>
      </c>
      <c r="C172" s="3" t="str">
        <f>HYPERLINK("https://www.kmpharma.in/product/4819","KMB093009")</f>
        <v>KMB093009</v>
      </c>
      <c r="D172" s="3" t="s">
        <v>7</v>
      </c>
      <c r="E172" s="5" t="s">
        <v>321</v>
      </c>
    </row>
    <row r="173" spans="1:5" x14ac:dyDescent="0.25">
      <c r="A173" s="6">
        <v>172</v>
      </c>
      <c r="B173" s="6" t="str">
        <f>HYPERLINK("https://www.kmpharma.in/product/4820","Brigatinib Nitroso Impurity 1")</f>
        <v>Brigatinib Nitroso Impurity 1</v>
      </c>
      <c r="C173" s="6" t="str">
        <f>HYPERLINK("https://www.kmpharma.in/product/4820","KMB093010")</f>
        <v>KMB093010</v>
      </c>
      <c r="D173" s="6" t="s">
        <v>7</v>
      </c>
      <c r="E173" s="7" t="s">
        <v>323</v>
      </c>
    </row>
    <row r="174" spans="1:5" x14ac:dyDescent="0.25">
      <c r="A174" s="3">
        <v>173</v>
      </c>
      <c r="B174" s="3" t="str">
        <f>HYPERLINK("https://www.kmpharma.in/product/4821","Brigatinib Nitroso Impurity 2")</f>
        <v>Brigatinib Nitroso Impurity 2</v>
      </c>
      <c r="C174" s="3" t="str">
        <f>HYPERLINK("https://www.kmpharma.in/product/4821","KMB093011")</f>
        <v>KMB093011</v>
      </c>
      <c r="D174" s="3" t="s">
        <v>7</v>
      </c>
      <c r="E174" s="5" t="s">
        <v>324</v>
      </c>
    </row>
    <row r="175" spans="1:5" x14ac:dyDescent="0.25">
      <c r="A175" s="6">
        <v>174</v>
      </c>
      <c r="B175" s="6" t="str">
        <f>HYPERLINK("https://www.kmpharma.in/product/4877","Brimonidine Nitroso Impurity")</f>
        <v>Brimonidine Nitroso Impurity</v>
      </c>
      <c r="C175" s="6" t="str">
        <f>HYPERLINK("https://www.kmpharma.in/product/4877","KMB094045")</f>
        <v>KMB094045</v>
      </c>
      <c r="D175" s="6" t="s">
        <v>7</v>
      </c>
      <c r="E175" s="6" t="s">
        <v>16</v>
      </c>
    </row>
    <row r="176" spans="1:5" x14ac:dyDescent="0.25">
      <c r="A176" s="3">
        <v>175</v>
      </c>
      <c r="B176" s="3" t="str">
        <f>HYPERLINK("https://www.kmpharma.in/product/4878","Brimonidine Nitroso Impurity 1")</f>
        <v>Brimonidine Nitroso Impurity 1</v>
      </c>
      <c r="C176" s="3" t="str">
        <f>HYPERLINK("https://www.kmpharma.in/product/4878","KMB094046")</f>
        <v>KMB094046</v>
      </c>
      <c r="D176" s="3" t="s">
        <v>7</v>
      </c>
      <c r="E176" s="3" t="s">
        <v>16</v>
      </c>
    </row>
    <row r="177" spans="1:5" x14ac:dyDescent="0.25">
      <c r="A177" s="6">
        <v>176</v>
      </c>
      <c r="B177" s="6" t="str">
        <f>HYPERLINK("https://www.kmpharma.in/product/4879","Brimonidine Nitroso Impurity 2")</f>
        <v>Brimonidine Nitroso Impurity 2</v>
      </c>
      <c r="C177" s="6" t="str">
        <f>HYPERLINK("https://www.kmpharma.in/product/4879","KMB094047")</f>
        <v>KMB094047</v>
      </c>
      <c r="D177" s="6" t="s">
        <v>7</v>
      </c>
      <c r="E177" s="7" t="s">
        <v>323</v>
      </c>
    </row>
    <row r="178" spans="1:5" x14ac:dyDescent="0.25">
      <c r="A178" s="3">
        <v>177</v>
      </c>
      <c r="B178" s="3" t="str">
        <f>HYPERLINK("https://www.kmpharma.in/product/4880","Brimonidine Nitroso Impurity 3")</f>
        <v>Brimonidine Nitroso Impurity 3</v>
      </c>
      <c r="C178" s="3" t="str">
        <f>HYPERLINK("https://www.kmpharma.in/product/4880","KMB094048")</f>
        <v>KMB094048</v>
      </c>
      <c r="D178" s="3" t="s">
        <v>7</v>
      </c>
      <c r="E178" s="5" t="s">
        <v>323</v>
      </c>
    </row>
    <row r="179" spans="1:5" x14ac:dyDescent="0.25">
      <c r="A179" s="6">
        <v>178</v>
      </c>
      <c r="B179" s="6" t="str">
        <f>HYPERLINK("https://www.kmpharma.in/product/4912","Brinzolamide Nitroso Impurity")</f>
        <v>Brinzolamide Nitroso Impurity</v>
      </c>
      <c r="C179" s="6" t="str">
        <f>HYPERLINK("https://www.kmpharma.in/product/4912","KMB095026")</f>
        <v>KMB095026</v>
      </c>
      <c r="D179" s="6" t="s">
        <v>7</v>
      </c>
      <c r="E179" s="6" t="s">
        <v>16</v>
      </c>
    </row>
    <row r="180" spans="1:5" x14ac:dyDescent="0.25">
      <c r="A180" s="3">
        <v>179</v>
      </c>
      <c r="B180" s="3" t="str">
        <f>HYPERLINK("https://www.kmpharma.in/product/4920","Brivanib Nitroso Impurity")</f>
        <v>Brivanib Nitroso Impurity</v>
      </c>
      <c r="C180" s="3" t="str">
        <f>HYPERLINK("https://www.kmpharma.in/product/4920","KMB096005")</f>
        <v>KMB096005</v>
      </c>
      <c r="D180" s="3" t="s">
        <v>7</v>
      </c>
      <c r="E180" s="3" t="s">
        <v>16</v>
      </c>
    </row>
    <row r="181" spans="1:5" x14ac:dyDescent="0.25">
      <c r="A181" s="6">
        <v>180</v>
      </c>
      <c r="B181" s="6" t="str">
        <f>HYPERLINK("https://www.kmpharma.in/product/4987","Brivaracetam Nitroso Impurity 1")</f>
        <v>Brivaracetam Nitroso Impurity 1</v>
      </c>
      <c r="C181" s="6" t="str">
        <f>HYPERLINK("https://www.kmpharma.in/product/4987","KMB097067")</f>
        <v>KMB097067</v>
      </c>
      <c r="D181" s="6" t="s">
        <v>7</v>
      </c>
      <c r="E181" s="7" t="s">
        <v>323</v>
      </c>
    </row>
    <row r="182" spans="1:5" x14ac:dyDescent="0.25">
      <c r="A182" s="3">
        <v>181</v>
      </c>
      <c r="B182" s="3" t="str">
        <f>HYPERLINK("https://www.kmpharma.in/product/5008","Bromazepam Nitroso Impurity")</f>
        <v>Bromazepam Nitroso Impurity</v>
      </c>
      <c r="C182" s="3" t="str">
        <f>HYPERLINK("https://www.kmpharma.in/product/5008","KMB102008")</f>
        <v>KMB102008</v>
      </c>
      <c r="D182" s="3" t="s">
        <v>7</v>
      </c>
      <c r="E182" s="5" t="s">
        <v>323</v>
      </c>
    </row>
    <row r="183" spans="1:5" x14ac:dyDescent="0.25">
      <c r="A183" s="6">
        <v>182</v>
      </c>
      <c r="B183" s="6" t="str">
        <f>HYPERLINK("https://www.kmpharma.in/product/5041","Bromfenac Nitroso Impurity 1")</f>
        <v>Bromfenac Nitroso Impurity 1</v>
      </c>
      <c r="C183" s="6" t="str">
        <f>HYPERLINK("https://www.kmpharma.in/product/5041","KMB104028")</f>
        <v>KMB104028</v>
      </c>
      <c r="D183" s="6" t="s">
        <v>7</v>
      </c>
      <c r="E183" s="6" t="s">
        <v>16</v>
      </c>
    </row>
    <row r="184" spans="1:5" x14ac:dyDescent="0.25">
      <c r="A184" s="3">
        <v>183</v>
      </c>
      <c r="B184" s="3" t="str">
        <f>HYPERLINK("https://www.kmpharma.in/product/5042","Bromfenac Nitroso Impurity 2")</f>
        <v>Bromfenac Nitroso Impurity 2</v>
      </c>
      <c r="C184" s="3" t="str">
        <f>HYPERLINK("https://www.kmpharma.in/product/5042","KMB104029")</f>
        <v>KMB104029</v>
      </c>
      <c r="D184" s="3" t="s">
        <v>7</v>
      </c>
      <c r="E184" s="3" t="s">
        <v>16</v>
      </c>
    </row>
    <row r="185" spans="1:5" x14ac:dyDescent="0.25">
      <c r="A185" s="6">
        <v>184</v>
      </c>
      <c r="B185" s="6" t="str">
        <f>HYPERLINK("https://www.kmpharma.in/product/5043","Bromfenac Nitroso Impurity 3")</f>
        <v>Bromfenac Nitroso Impurity 3</v>
      </c>
      <c r="C185" s="6" t="str">
        <f>HYPERLINK("https://www.kmpharma.in/product/5043","KMB104030")</f>
        <v>KMB104030</v>
      </c>
      <c r="D185" s="6" t="s">
        <v>7</v>
      </c>
      <c r="E185" s="7" t="s">
        <v>323</v>
      </c>
    </row>
    <row r="186" spans="1:5" x14ac:dyDescent="0.25">
      <c r="A186" s="3">
        <v>185</v>
      </c>
      <c r="B186" s="3" t="str">
        <f>HYPERLINK("https://www.kmpharma.in/product/5044","Bromfenac Nitroso Impurity 4")</f>
        <v>Bromfenac Nitroso Impurity 4</v>
      </c>
      <c r="C186" s="3" t="str">
        <f>HYPERLINK("https://www.kmpharma.in/product/5044","KMB104031")</f>
        <v>KMB104031</v>
      </c>
      <c r="D186" s="3" t="s">
        <v>7</v>
      </c>
      <c r="E186" s="5" t="s">
        <v>321</v>
      </c>
    </row>
    <row r="187" spans="1:5" x14ac:dyDescent="0.25">
      <c r="A187" s="6">
        <v>186</v>
      </c>
      <c r="B187" s="6" t="str">
        <f>HYPERLINK("https://www.kmpharma.in/product/5102","Bucindolol Nitroso Impurity 1")</f>
        <v>Bucindolol Nitroso Impurity 1</v>
      </c>
      <c r="C187" s="6" t="str">
        <f>HYPERLINK("https://www.kmpharma.in/product/5102","KMB112002")</f>
        <v>KMB112002</v>
      </c>
      <c r="D187" s="6" t="s">
        <v>7</v>
      </c>
      <c r="E187" s="7" t="s">
        <v>323</v>
      </c>
    </row>
    <row r="188" spans="1:5" x14ac:dyDescent="0.25">
      <c r="A188" s="3">
        <v>187</v>
      </c>
      <c r="B188" s="3" t="str">
        <f>HYPERLINK("https://www.kmpharma.in/product/5101","Bucindolol Nitroso Impurity 2")</f>
        <v>Bucindolol Nitroso Impurity 2</v>
      </c>
      <c r="C188" s="3" t="str">
        <f>HYPERLINK("https://www.kmpharma.in/product/5101","KMB112003")</f>
        <v>KMB112003</v>
      </c>
      <c r="D188" s="3" t="s">
        <v>7</v>
      </c>
      <c r="E188" s="5" t="s">
        <v>321</v>
      </c>
    </row>
    <row r="189" spans="1:5" x14ac:dyDescent="0.25">
      <c r="A189" s="6">
        <v>188</v>
      </c>
      <c r="B189" s="6" t="str">
        <f>HYPERLINK("https://www.kmpharma.in/product/5103","Bucindolol Nitroso Impurity 3")</f>
        <v>Bucindolol Nitroso Impurity 3</v>
      </c>
      <c r="C189" s="6" t="str">
        <f>HYPERLINK("https://www.kmpharma.in/product/5103","KMB112004")</f>
        <v>KMB112004</v>
      </c>
      <c r="D189" s="6" t="s">
        <v>7</v>
      </c>
      <c r="E189" s="7" t="s">
        <v>322</v>
      </c>
    </row>
    <row r="190" spans="1:5" x14ac:dyDescent="0.25">
      <c r="A190" s="3">
        <v>189</v>
      </c>
      <c r="B190" s="3" t="str">
        <f>HYPERLINK("https://www.kmpharma.in/product/5263","Buspirone Nitroso Impurity 1")</f>
        <v>Buspirone Nitroso Impurity 1</v>
      </c>
      <c r="C190" s="3" t="str">
        <f>HYPERLINK("https://www.kmpharma.in/product/5263","KMB120028")</f>
        <v>KMB120028</v>
      </c>
      <c r="D190" s="3" t="s">
        <v>41</v>
      </c>
      <c r="E190" s="5" t="s">
        <v>323</v>
      </c>
    </row>
    <row r="191" spans="1:5" x14ac:dyDescent="0.25">
      <c r="A191" s="6">
        <v>190</v>
      </c>
      <c r="B191" s="6" t="str">
        <f>HYPERLINK("https://www.kmpharma.in/product/5449","Cabozantinib Nitroso Impurity 1")</f>
        <v>Cabozantinib Nitroso Impurity 1</v>
      </c>
      <c r="C191" s="6" t="str">
        <f>HYPERLINK("https://www.kmpharma.in/product/5449","KMC038042")</f>
        <v>KMC038042</v>
      </c>
      <c r="D191" s="6" t="s">
        <v>7</v>
      </c>
      <c r="E191" s="7" t="s">
        <v>321</v>
      </c>
    </row>
    <row r="192" spans="1:5" x14ac:dyDescent="0.25">
      <c r="A192" s="3">
        <v>191</v>
      </c>
      <c r="B192" s="3" t="str">
        <f>HYPERLINK("https://www.kmpharma.in/product/5452","Cafedrine Nitroso Impurity 1")</f>
        <v>Cafedrine Nitroso Impurity 1</v>
      </c>
      <c r="C192" s="3" t="str">
        <f>HYPERLINK("https://www.kmpharma.in/product/5452","KMC039002")</f>
        <v>KMC039002</v>
      </c>
      <c r="D192" s="3" t="s">
        <v>7</v>
      </c>
      <c r="E192" s="5" t="s">
        <v>321</v>
      </c>
    </row>
    <row r="193" spans="1:5" x14ac:dyDescent="0.25">
      <c r="A193" s="6">
        <v>192</v>
      </c>
      <c r="B193" s="6" t="str">
        <f>HYPERLINK("https://www.kmpharma.in/product/5736","Candesartan Nitroso Impurity 1")</f>
        <v>Candesartan Nitroso Impurity 1</v>
      </c>
      <c r="C193" s="6" t="str">
        <f>HYPERLINK("https://www.kmpharma.in/product/5736","KMC057047")</f>
        <v>KMC057047</v>
      </c>
      <c r="D193" s="6" t="s">
        <v>7</v>
      </c>
      <c r="E193" s="7" t="s">
        <v>321</v>
      </c>
    </row>
    <row r="194" spans="1:5" x14ac:dyDescent="0.25">
      <c r="A194" s="3">
        <v>193</v>
      </c>
      <c r="B194" s="3" t="str">
        <f>HYPERLINK("https://www.kmpharma.in/product/5735","Candesartan Nitroso Impurity 2")</f>
        <v>Candesartan Nitroso Impurity 2</v>
      </c>
      <c r="C194" s="3" t="str">
        <f>HYPERLINK("https://www.kmpharma.in/product/5735","KMC057048")</f>
        <v>KMC057048</v>
      </c>
      <c r="D194" s="3" t="s">
        <v>7</v>
      </c>
      <c r="E194" s="5" t="s">
        <v>321</v>
      </c>
    </row>
    <row r="195" spans="1:5" x14ac:dyDescent="0.25">
      <c r="A195" s="6">
        <v>194</v>
      </c>
      <c r="B195" s="6" t="str">
        <f>HYPERLINK("https://www.kmpharma.in/product/5751","Cangrelor Dimer Nitroso Impurity")</f>
        <v>Cangrelor Dimer Nitroso Impurity</v>
      </c>
      <c r="C195" s="6" t="str">
        <f>HYPERLINK("https://www.kmpharma.in/product/5751","KMC059003")</f>
        <v>KMC059003</v>
      </c>
      <c r="D195" s="6" t="s">
        <v>7</v>
      </c>
      <c r="E195" s="7" t="s">
        <v>323</v>
      </c>
    </row>
    <row r="196" spans="1:5" x14ac:dyDescent="0.25">
      <c r="A196" s="3">
        <v>195</v>
      </c>
      <c r="B196" s="3" t="str">
        <f>HYPERLINK("https://www.kmpharma.in/product/5752","Cangrelor Nitroso Impurity 1")</f>
        <v>Cangrelor Nitroso Impurity 1</v>
      </c>
      <c r="C196" s="3" t="str">
        <f>HYPERLINK("https://www.kmpharma.in/product/5752","KMC059013")</f>
        <v>KMC059013</v>
      </c>
      <c r="D196" s="3" t="s">
        <v>7</v>
      </c>
      <c r="E196" s="5" t="s">
        <v>321</v>
      </c>
    </row>
    <row r="197" spans="1:5" x14ac:dyDescent="0.25">
      <c r="A197" s="6">
        <v>196</v>
      </c>
      <c r="B197" s="6" t="str">
        <f>HYPERLINK("https://www.kmpharma.in/product/5753","Cangrelor Nitroso Impurity 2")</f>
        <v>Cangrelor Nitroso Impurity 2</v>
      </c>
      <c r="C197" s="6" t="str">
        <f>HYPERLINK("https://www.kmpharma.in/product/5753","KMC059014")</f>
        <v>KMC059014</v>
      </c>
      <c r="D197" s="6" t="s">
        <v>7</v>
      </c>
      <c r="E197" s="7" t="s">
        <v>321</v>
      </c>
    </row>
    <row r="198" spans="1:5" x14ac:dyDescent="0.25">
      <c r="A198" s="3">
        <v>197</v>
      </c>
      <c r="B198" s="3" t="str">
        <f>HYPERLINK("https://www.kmpharma.in/product/5754","Cangrelor Nitroso Impurity 3")</f>
        <v>Cangrelor Nitroso Impurity 3</v>
      </c>
      <c r="C198" s="3" t="str">
        <f>HYPERLINK("https://www.kmpharma.in/product/5754","KMC059015")</f>
        <v>KMC059015</v>
      </c>
      <c r="D198" s="3" t="s">
        <v>7</v>
      </c>
      <c r="E198" s="3" t="s">
        <v>16</v>
      </c>
    </row>
    <row r="199" spans="1:5" x14ac:dyDescent="0.25">
      <c r="A199" s="6">
        <v>198</v>
      </c>
      <c r="B199" s="6" t="str">
        <f>HYPERLINK("https://www.kmpharma.in/product/5755","Cangrelor Nitroso Impurity 4")</f>
        <v>Cangrelor Nitroso Impurity 4</v>
      </c>
      <c r="C199" s="6" t="str">
        <f>HYPERLINK("https://www.kmpharma.in/product/5755","KMC059016")</f>
        <v>KMC059016</v>
      </c>
      <c r="D199" s="6" t="s">
        <v>7</v>
      </c>
      <c r="E199" s="7" t="s">
        <v>321</v>
      </c>
    </row>
    <row r="200" spans="1:5" x14ac:dyDescent="0.25">
      <c r="A200" s="3">
        <v>199</v>
      </c>
      <c r="B200" s="3" t="str">
        <f>HYPERLINK("https://www.kmpharma.in/product/5756","Cangrelor Nitroso Impurity 5")</f>
        <v>Cangrelor Nitroso Impurity 5</v>
      </c>
      <c r="C200" s="3" t="str">
        <f>HYPERLINK("https://www.kmpharma.in/product/5756","KMC059017")</f>
        <v>KMC059017</v>
      </c>
      <c r="D200" s="3" t="s">
        <v>7</v>
      </c>
      <c r="E200" s="5" t="s">
        <v>321</v>
      </c>
    </row>
    <row r="201" spans="1:5" x14ac:dyDescent="0.25">
      <c r="A201" s="6">
        <v>200</v>
      </c>
      <c r="B201" s="6" t="str">
        <f>HYPERLINK("https://www.kmpharma.in/product/5757","Cangrelor Nitroso Impurity 6")</f>
        <v>Cangrelor Nitroso Impurity 6</v>
      </c>
      <c r="C201" s="6" t="str">
        <f>HYPERLINK("https://www.kmpharma.in/product/5757","KMC059018")</f>
        <v>KMC059018</v>
      </c>
      <c r="D201" s="6" t="s">
        <v>7</v>
      </c>
      <c r="E201" s="7" t="s">
        <v>323</v>
      </c>
    </row>
    <row r="202" spans="1:5" x14ac:dyDescent="0.25">
      <c r="A202" s="3">
        <v>201</v>
      </c>
      <c r="B202" s="3" t="str">
        <f>HYPERLINK("https://www.kmpharma.in/product/5758","Cangrelor Nitroso Impurity 7")</f>
        <v>Cangrelor Nitroso Impurity 7</v>
      </c>
      <c r="C202" s="3" t="str">
        <f>HYPERLINK("https://www.kmpharma.in/product/5758","KMC059019")</f>
        <v>KMC059019</v>
      </c>
      <c r="D202" s="3" t="s">
        <v>7</v>
      </c>
      <c r="E202" s="5" t="s">
        <v>321</v>
      </c>
    </row>
    <row r="203" spans="1:5" x14ac:dyDescent="0.25">
      <c r="A203" s="6">
        <v>202</v>
      </c>
      <c r="B203" s="6" t="str">
        <f>HYPERLINK("https://www.kmpharma.in/product/5759","Cangrelor Sulfoxide Nitroso Impurity")</f>
        <v>Cangrelor Sulfoxide Nitroso Impurity</v>
      </c>
      <c r="C203" s="6" t="str">
        <f>HYPERLINK("https://www.kmpharma.in/product/5759","KMC059021")</f>
        <v>KMC059021</v>
      </c>
      <c r="D203" s="6" t="s">
        <v>7</v>
      </c>
      <c r="E203" s="7" t="s">
        <v>322</v>
      </c>
    </row>
    <row r="204" spans="1:5" x14ac:dyDescent="0.25">
      <c r="A204" s="3">
        <v>203</v>
      </c>
      <c r="B204" s="3" t="str">
        <f>HYPERLINK("https://www.kmpharma.in/product/6215","Cariprazine Nitroso Impurity 1")</f>
        <v>Cariprazine Nitroso Impurity 1</v>
      </c>
      <c r="C204" s="3" t="str">
        <f>HYPERLINK("https://www.kmpharma.in/product/6215","KMC078049")</f>
        <v>KMC078049</v>
      </c>
      <c r="D204" s="3" t="s">
        <v>42</v>
      </c>
      <c r="E204" s="5" t="s">
        <v>322</v>
      </c>
    </row>
    <row r="205" spans="1:5" x14ac:dyDescent="0.25">
      <c r="A205" s="6">
        <v>204</v>
      </c>
      <c r="B205" s="6" t="str">
        <f>HYPERLINK("https://www.kmpharma.in/product/6257","Carprofen Nitroso Impurity")</f>
        <v>Carprofen Nitroso Impurity</v>
      </c>
      <c r="C205" s="6" t="str">
        <f>HYPERLINK("https://www.kmpharma.in/product/6257","KMC081014")</f>
        <v>KMC081014</v>
      </c>
      <c r="D205" s="6" t="s">
        <v>43</v>
      </c>
      <c r="E205" s="6" t="s">
        <v>16</v>
      </c>
    </row>
    <row r="206" spans="1:5" x14ac:dyDescent="0.25">
      <c r="A206" s="3">
        <v>205</v>
      </c>
      <c r="B206" s="3" t="str">
        <f>HYPERLINK("https://www.kmpharma.in/product/185","Carvedilol Nitroso Impurity")</f>
        <v>Carvedilol Nitroso Impurity</v>
      </c>
      <c r="C206" s="3" t="str">
        <f>HYPERLINK("https://www.kmpharma.in/product/185","KMC005001")</f>
        <v>KMC005001</v>
      </c>
      <c r="D206" s="3" t="s">
        <v>44</v>
      </c>
      <c r="E206" s="5" t="s">
        <v>321</v>
      </c>
    </row>
    <row r="207" spans="1:5" x14ac:dyDescent="0.25">
      <c r="A207" s="6">
        <v>206</v>
      </c>
      <c r="B207" s="6" t="str">
        <f>HYPERLINK("https://www.kmpharma.in/product/6311","Carvedilol Nitroso Impurity 2")</f>
        <v>Carvedilol Nitroso Impurity 2</v>
      </c>
      <c r="C207" s="6" t="str">
        <f>HYPERLINK("https://www.kmpharma.in/product/6311","KMC005032")</f>
        <v>KMC005032</v>
      </c>
      <c r="D207" s="6" t="s">
        <v>7</v>
      </c>
      <c r="E207" s="7" t="s">
        <v>323</v>
      </c>
    </row>
    <row r="208" spans="1:5" x14ac:dyDescent="0.25">
      <c r="A208" s="3">
        <v>207</v>
      </c>
      <c r="B208" s="3" t="str">
        <f>HYPERLINK("https://www.kmpharma.in/product/6516","Cefixime Nitroso Impurity 1")</f>
        <v>Cefixime Nitroso Impurity 1</v>
      </c>
      <c r="C208" s="3" t="str">
        <f>HYPERLINK("https://www.kmpharma.in/product/6516","KMC102021")</f>
        <v>KMC102021</v>
      </c>
      <c r="D208" s="3" t="s">
        <v>7</v>
      </c>
      <c r="E208" s="5" t="s">
        <v>321</v>
      </c>
    </row>
    <row r="209" spans="1:5" x14ac:dyDescent="0.25">
      <c r="A209" s="6">
        <v>208</v>
      </c>
      <c r="B209" s="6" t="str">
        <f>HYPERLINK("https://www.kmpharma.in/product/6517","Cefixime Nitroso Impurity 2")</f>
        <v>Cefixime Nitroso Impurity 2</v>
      </c>
      <c r="C209" s="6" t="str">
        <f>HYPERLINK("https://www.kmpharma.in/product/6517","KMC102022")</f>
        <v>KMC102022</v>
      </c>
      <c r="D209" s="6" t="s">
        <v>7</v>
      </c>
      <c r="E209" s="6" t="s">
        <v>16</v>
      </c>
    </row>
    <row r="210" spans="1:5" x14ac:dyDescent="0.25">
      <c r="A210" s="3">
        <v>209</v>
      </c>
      <c r="B210" s="3" t="str">
        <f>HYPERLINK("https://www.kmpharma.in/product/6640","Ceftaroline Fosamil Nitroso Impurity 1")</f>
        <v>Ceftaroline Fosamil Nitroso Impurity 1</v>
      </c>
      <c r="C210" s="3" t="str">
        <f>HYPERLINK("https://www.kmpharma.in/product/6640","KMC115002")</f>
        <v>KMC115002</v>
      </c>
      <c r="D210" s="3" t="s">
        <v>7</v>
      </c>
      <c r="E210" s="3" t="s">
        <v>16</v>
      </c>
    </row>
    <row r="211" spans="1:5" x14ac:dyDescent="0.25">
      <c r="A211" s="6">
        <v>210</v>
      </c>
      <c r="B211" s="6" t="str">
        <f>HYPERLINK("https://www.kmpharma.in/product/6641","Ceftaroline Fosamil Nitroso Impurity 2")</f>
        <v>Ceftaroline Fosamil Nitroso Impurity 2</v>
      </c>
      <c r="C211" s="6" t="str">
        <f>HYPERLINK("https://www.kmpharma.in/product/6641","KMC115003")</f>
        <v>KMC115003</v>
      </c>
      <c r="D211" s="6" t="s">
        <v>7</v>
      </c>
      <c r="E211" s="7" t="s">
        <v>324</v>
      </c>
    </row>
    <row r="212" spans="1:5" x14ac:dyDescent="0.25">
      <c r="A212" s="3">
        <v>211</v>
      </c>
      <c r="B212" s="3" t="str">
        <f>HYPERLINK("https://www.kmpharma.in/product/6777","Celecoxib Nitroso Impurity 1")</f>
        <v>Celecoxib Nitroso Impurity 1</v>
      </c>
      <c r="C212" s="3" t="str">
        <f>HYPERLINK("https://www.kmpharma.in/product/6777","KMC028027")</f>
        <v>KMC028027</v>
      </c>
      <c r="D212" s="3" t="s">
        <v>7</v>
      </c>
      <c r="E212" s="5" t="s">
        <v>321</v>
      </c>
    </row>
    <row r="213" spans="1:5" x14ac:dyDescent="0.25">
      <c r="A213" s="6">
        <v>212</v>
      </c>
      <c r="B213" s="6" t="str">
        <f>HYPERLINK("https://www.kmpharma.in/product/6778","Celecoxib Nitroso Impurity 2")</f>
        <v>Celecoxib Nitroso Impurity 2</v>
      </c>
      <c r="C213" s="6" t="str">
        <f>HYPERLINK("https://www.kmpharma.in/product/6778","KMC028028")</f>
        <v>KMC028028</v>
      </c>
      <c r="D213" s="6" t="s">
        <v>7</v>
      </c>
      <c r="E213" s="7" t="s">
        <v>321</v>
      </c>
    </row>
    <row r="214" spans="1:5" x14ac:dyDescent="0.25">
      <c r="A214" s="3">
        <v>213</v>
      </c>
      <c r="B214" s="3" t="str">
        <f>HYPERLINK("https://www.kmpharma.in/product/6779","Celecoxib Nitroso Impurity 3")</f>
        <v>Celecoxib Nitroso Impurity 3</v>
      </c>
      <c r="C214" s="3" t="str">
        <f>HYPERLINK("https://www.kmpharma.in/product/6779","KMC028029")</f>
        <v>KMC028029</v>
      </c>
      <c r="D214" s="3" t="s">
        <v>7</v>
      </c>
      <c r="E214" s="5" t="s">
        <v>321</v>
      </c>
    </row>
    <row r="215" spans="1:5" x14ac:dyDescent="0.25">
      <c r="A215" s="6">
        <v>214</v>
      </c>
      <c r="B215" s="6" t="str">
        <f>HYPERLINK("https://www.kmpharma.in/product/6780","Celecoxib Nitroso Impurity 4")</f>
        <v>Celecoxib Nitroso Impurity 4</v>
      </c>
      <c r="C215" s="6" t="str">
        <f>HYPERLINK("https://www.kmpharma.in/product/6780","KMC028030")</f>
        <v>KMC028030</v>
      </c>
      <c r="D215" s="6" t="s">
        <v>7</v>
      </c>
      <c r="E215" s="7" t="s">
        <v>321</v>
      </c>
    </row>
    <row r="216" spans="1:5" x14ac:dyDescent="0.25">
      <c r="A216" s="3">
        <v>215</v>
      </c>
      <c r="B216" s="3" t="str">
        <f>HYPERLINK("https://www.kmpharma.in/product/6781","Celecoxib Nitroso Impurity 5")</f>
        <v>Celecoxib Nitroso Impurity 5</v>
      </c>
      <c r="C216" s="3" t="str">
        <f>HYPERLINK("https://www.kmpharma.in/product/6781","KMC028031")</f>
        <v>KMC028031</v>
      </c>
      <c r="D216" s="3" t="s">
        <v>7</v>
      </c>
      <c r="E216" s="5" t="s">
        <v>321</v>
      </c>
    </row>
    <row r="217" spans="1:5" x14ac:dyDescent="0.25">
      <c r="A217" s="6">
        <v>216</v>
      </c>
      <c r="B217" s="6" t="str">
        <f>HYPERLINK("https://www.kmpharma.in/product/6782","Celecoxib Nitroso Impurity 6")</f>
        <v>Celecoxib Nitroso Impurity 6</v>
      </c>
      <c r="C217" s="6" t="str">
        <f>HYPERLINK("https://www.kmpharma.in/product/6782","KMC028032")</f>
        <v>KMC028032</v>
      </c>
      <c r="D217" s="6" t="s">
        <v>45</v>
      </c>
      <c r="E217" s="7" t="s">
        <v>321</v>
      </c>
    </row>
    <row r="218" spans="1:5" x14ac:dyDescent="0.25">
      <c r="A218" s="3">
        <v>217</v>
      </c>
      <c r="B218" s="3" t="str">
        <f>HYPERLINK("https://www.kmpharma.in/product/6783","Celecoxib Nitroso Impurity 7")</f>
        <v>Celecoxib Nitroso Impurity 7</v>
      </c>
      <c r="C218" s="3" t="str">
        <f>HYPERLINK("https://www.kmpharma.in/product/6783","KMC028033")</f>
        <v>KMC028033</v>
      </c>
      <c r="D218" s="3" t="s">
        <v>7</v>
      </c>
      <c r="E218" s="5" t="s">
        <v>321</v>
      </c>
    </row>
    <row r="219" spans="1:5" x14ac:dyDescent="0.25">
      <c r="A219" s="6">
        <v>218</v>
      </c>
      <c r="B219" s="6" t="str">
        <f>HYPERLINK("https://www.kmpharma.in/product/6800","Celiprolol Nitroso Impurity 1")</f>
        <v>Celiprolol Nitroso Impurity 1</v>
      </c>
      <c r="C219" s="6" t="str">
        <f>HYPERLINK("https://www.kmpharma.in/product/6800","KMC125015")</f>
        <v>KMC125015</v>
      </c>
      <c r="D219" s="6" t="s">
        <v>7</v>
      </c>
      <c r="E219" s="7" t="s">
        <v>321</v>
      </c>
    </row>
    <row r="220" spans="1:5" x14ac:dyDescent="0.25">
      <c r="A220" s="3">
        <v>219</v>
      </c>
      <c r="B220" s="3" t="str">
        <f>HYPERLINK("https://www.kmpharma.in/product/6798","Celiprolol Nitroso Impurity 2")</f>
        <v>Celiprolol Nitroso Impurity 2</v>
      </c>
      <c r="C220" s="3" t="str">
        <f>HYPERLINK("https://www.kmpharma.in/product/6798","KMC125016")</f>
        <v>KMC125016</v>
      </c>
      <c r="D220" s="3" t="s">
        <v>7</v>
      </c>
      <c r="E220" s="5" t="s">
        <v>323</v>
      </c>
    </row>
    <row r="221" spans="1:5" x14ac:dyDescent="0.25">
      <c r="A221" s="6">
        <v>220</v>
      </c>
      <c r="B221" s="6" t="str">
        <f>HYPERLINK("https://www.kmpharma.in/product/6843","Ceritinib Nitroso Impurity")</f>
        <v>Ceritinib Nitroso Impurity</v>
      </c>
      <c r="C221" s="6" t="str">
        <f>HYPERLINK("https://www.kmpharma.in/product/6843","KMC129026")</f>
        <v>KMC129026</v>
      </c>
      <c r="D221" s="6" t="s">
        <v>7</v>
      </c>
      <c r="E221" s="7" t="s">
        <v>321</v>
      </c>
    </row>
    <row r="222" spans="1:5" x14ac:dyDescent="0.25">
      <c r="A222" s="3">
        <v>221</v>
      </c>
      <c r="B222" s="3" t="str">
        <f>HYPERLINK("https://www.kmpharma.in/product/6840","Ceritinib Nitroso Impurity 1")</f>
        <v>Ceritinib Nitroso Impurity 1</v>
      </c>
      <c r="C222" s="3" t="str">
        <f>HYPERLINK("https://www.kmpharma.in/product/6840","KMC129027")</f>
        <v>KMC129027</v>
      </c>
      <c r="D222" s="3" t="s">
        <v>7</v>
      </c>
      <c r="E222" s="5" t="s">
        <v>323</v>
      </c>
    </row>
    <row r="223" spans="1:5" x14ac:dyDescent="0.25">
      <c r="A223" s="6">
        <v>222</v>
      </c>
      <c r="B223" s="6" t="str">
        <f>HYPERLINK("https://www.kmpharma.in/product/6841","Ceritinib Nitroso Impurity 2")</f>
        <v>Ceritinib Nitroso Impurity 2</v>
      </c>
      <c r="C223" s="6" t="str">
        <f>HYPERLINK("https://www.kmpharma.in/product/6841","KMC129028")</f>
        <v>KMC129028</v>
      </c>
      <c r="D223" s="6" t="s">
        <v>7</v>
      </c>
      <c r="E223" s="6" t="s">
        <v>16</v>
      </c>
    </row>
    <row r="224" spans="1:5" x14ac:dyDescent="0.25">
      <c r="A224" s="3">
        <v>223</v>
      </c>
      <c r="B224" s="3" t="str">
        <f>HYPERLINK("https://www.kmpharma.in/product/6842","Ceritinib Nitroso Impurity 3")</f>
        <v>Ceritinib Nitroso Impurity 3</v>
      </c>
      <c r="C224" s="3" t="str">
        <f>HYPERLINK("https://www.kmpharma.in/product/6842","KMC129029")</f>
        <v>KMC129029</v>
      </c>
      <c r="D224" s="3" t="s">
        <v>7</v>
      </c>
      <c r="E224" s="3" t="s">
        <v>16</v>
      </c>
    </row>
    <row r="225" spans="1:5" x14ac:dyDescent="0.25">
      <c r="A225" s="6">
        <v>224</v>
      </c>
      <c r="B225" s="6" t="str">
        <f>HYPERLINK("https://www.kmpharma.in/product/7118","Chloroquine Nitroso Impurity 1")</f>
        <v>Chloroquine Nitroso Impurity 1</v>
      </c>
      <c r="C225" s="6" t="str">
        <f>HYPERLINK("https://www.kmpharma.in/product/7118","KMC004004")</f>
        <v>KMC004004</v>
      </c>
      <c r="D225" s="6" t="s">
        <v>7</v>
      </c>
      <c r="E225" s="7" t="s">
        <v>321</v>
      </c>
    </row>
    <row r="226" spans="1:5" x14ac:dyDescent="0.25">
      <c r="A226" s="3">
        <v>225</v>
      </c>
      <c r="B226" s="3" t="str">
        <f>HYPERLINK("https://www.kmpharma.in/product/7359","Cilinidipine Nitroso Impurity")</f>
        <v>Cilinidipine Nitroso Impurity</v>
      </c>
      <c r="C226" s="3" t="str">
        <f>HYPERLINK("https://www.kmpharma.in/product/7359","KMC168002")</f>
        <v>KMC168002</v>
      </c>
      <c r="D226" s="3" t="s">
        <v>7</v>
      </c>
      <c r="E226" s="5" t="s">
        <v>321</v>
      </c>
    </row>
    <row r="227" spans="1:5" x14ac:dyDescent="0.25">
      <c r="A227" s="6">
        <v>226</v>
      </c>
      <c r="B227" s="6" t="str">
        <f>HYPERLINK("https://www.kmpharma.in/product/7406","Cimetidine Nitroso Impurity 1")</f>
        <v>Cimetidine Nitroso Impurity 1</v>
      </c>
      <c r="C227" s="6" t="str">
        <f>HYPERLINK("https://www.kmpharma.in/product/7406","KMC027018")</f>
        <v>KMC027018</v>
      </c>
      <c r="D227" s="6" t="s">
        <v>7</v>
      </c>
      <c r="E227" s="7" t="s">
        <v>321</v>
      </c>
    </row>
    <row r="228" spans="1:5" x14ac:dyDescent="0.25">
      <c r="A228" s="3">
        <v>227</v>
      </c>
      <c r="B228" s="3" t="str">
        <f>HYPERLINK("https://www.kmpharma.in/product/7405","Cimetidine Nitroso Impurity 2")</f>
        <v>Cimetidine Nitroso Impurity 2</v>
      </c>
      <c r="C228" s="3" t="str">
        <f>HYPERLINK("https://www.kmpharma.in/product/7405","KMC027019")</f>
        <v>KMC027019</v>
      </c>
      <c r="D228" s="3" t="s">
        <v>46</v>
      </c>
      <c r="E228" s="5" t="s">
        <v>321</v>
      </c>
    </row>
    <row r="229" spans="1:5" x14ac:dyDescent="0.25">
      <c r="A229" s="6">
        <v>228</v>
      </c>
      <c r="B229" s="6" t="str">
        <f>HYPERLINK("https://www.kmpharma.in/product/7407","Cimetidine Nitroso Impurity 3")</f>
        <v>Cimetidine Nitroso Impurity 3</v>
      </c>
      <c r="C229" s="6" t="str">
        <f>HYPERLINK("https://www.kmpharma.in/product/7407","KMC027020")</f>
        <v>KMC027020</v>
      </c>
      <c r="D229" s="6" t="s">
        <v>7</v>
      </c>
      <c r="E229" s="7" t="s">
        <v>321</v>
      </c>
    </row>
    <row r="230" spans="1:5" x14ac:dyDescent="0.25">
      <c r="A230" s="3">
        <v>229</v>
      </c>
      <c r="B230" s="3" t="str">
        <f>HYPERLINK("https://www.kmpharma.in/product/7408","Cimetidine Nitroso Impurity 4")</f>
        <v>Cimetidine Nitroso Impurity 4</v>
      </c>
      <c r="C230" s="3" t="str">
        <f>HYPERLINK("https://www.kmpharma.in/product/7408","KMC027021")</f>
        <v>KMC027021</v>
      </c>
      <c r="D230" s="3" t="s">
        <v>7</v>
      </c>
      <c r="E230" s="5" t="s">
        <v>321</v>
      </c>
    </row>
    <row r="231" spans="1:5" x14ac:dyDescent="0.25">
      <c r="A231" s="6">
        <v>230</v>
      </c>
      <c r="B231" s="6" t="str">
        <f>HYPERLINK("https://www.kmpharma.in/product/7492","Cinacalcet Nitroso Impurity 1")</f>
        <v>Cinacalcet Nitroso Impurity 1</v>
      </c>
      <c r="C231" s="6" t="str">
        <f>HYPERLINK("https://www.kmpharma.in/product/7492","KMC008074")</f>
        <v>KMC008074</v>
      </c>
      <c r="D231" s="6" t="s">
        <v>35</v>
      </c>
      <c r="E231" s="7" t="s">
        <v>323</v>
      </c>
    </row>
    <row r="232" spans="1:5" x14ac:dyDescent="0.25">
      <c r="A232" s="3">
        <v>231</v>
      </c>
      <c r="B232" s="3" t="str">
        <f>HYPERLINK("https://www.kmpharma.in/product/22990","cis-N-Nitroso-2,6-Dimethyl Morpholine")</f>
        <v>cis-N-Nitroso-2,6-Dimethyl Morpholine</v>
      </c>
      <c r="C232" s="3" t="str">
        <f>HYPERLINK("https://www.kmpharma.in/product/22990","KMN084028")</f>
        <v>KMN084028</v>
      </c>
      <c r="D232" s="3" t="s">
        <v>47</v>
      </c>
      <c r="E232" s="5" t="s">
        <v>321</v>
      </c>
    </row>
    <row r="233" spans="1:5" x14ac:dyDescent="0.25">
      <c r="A233" s="6">
        <v>232</v>
      </c>
      <c r="B233" s="6" t="str">
        <f>HYPERLINK("https://www.kmpharma.in/product/7907","Clobazam Nitroso Impurity 1")</f>
        <v>Clobazam Nitroso Impurity 1</v>
      </c>
      <c r="C233" s="6" t="str">
        <f>HYPERLINK("https://www.kmpharma.in/product/7907","KMC014014")</f>
        <v>KMC014014</v>
      </c>
      <c r="D233" s="6" t="s">
        <v>7</v>
      </c>
      <c r="E233" s="7" t="s">
        <v>321</v>
      </c>
    </row>
    <row r="234" spans="1:5" x14ac:dyDescent="0.25">
      <c r="A234" s="3">
        <v>233</v>
      </c>
      <c r="B234" s="3" t="str">
        <f>HYPERLINK("https://www.kmpharma.in/product/7908","Clobazam Nitroso Impurity 2")</f>
        <v>Clobazam Nitroso Impurity 2</v>
      </c>
      <c r="C234" s="3" t="str">
        <f>HYPERLINK("https://www.kmpharma.in/product/7908","KMC014015")</f>
        <v>KMC014015</v>
      </c>
      <c r="D234" s="3" t="s">
        <v>7</v>
      </c>
      <c r="E234" s="5" t="s">
        <v>321</v>
      </c>
    </row>
    <row r="235" spans="1:5" x14ac:dyDescent="0.25">
      <c r="A235" s="6">
        <v>234</v>
      </c>
      <c r="B235" s="6" t="str">
        <f>HYPERLINK("https://www.kmpharma.in/product/7998","Clofazimine Nitroso Impurity")</f>
        <v>Clofazimine Nitroso Impurity</v>
      </c>
      <c r="C235" s="6" t="str">
        <f>HYPERLINK("https://www.kmpharma.in/product/7998","KMC200012")</f>
        <v>KMC200012</v>
      </c>
      <c r="D235" s="6" t="s">
        <v>7</v>
      </c>
      <c r="E235" s="7" t="s">
        <v>321</v>
      </c>
    </row>
    <row r="236" spans="1:5" x14ac:dyDescent="0.25">
      <c r="A236" s="3">
        <v>235</v>
      </c>
      <c r="B236" s="3" t="str">
        <f>HYPERLINK("https://www.kmpharma.in/product/8080","Clomipramine Nitroso Impurity 1")</f>
        <v>Clomipramine Nitroso Impurity 1</v>
      </c>
      <c r="C236" s="3" t="str">
        <f>HYPERLINK("https://www.kmpharma.in/product/8080","KMC015034")</f>
        <v>KMC015034</v>
      </c>
      <c r="D236" s="3" t="s">
        <v>48</v>
      </c>
      <c r="E236" s="5" t="s">
        <v>321</v>
      </c>
    </row>
    <row r="237" spans="1:5" x14ac:dyDescent="0.25">
      <c r="A237" s="6">
        <v>236</v>
      </c>
      <c r="B237" s="6" t="str">
        <f>HYPERLINK("https://www.kmpharma.in/product/8071","Clomipramine Nitroso Impurity 10")</f>
        <v>Clomipramine Nitroso Impurity 10</v>
      </c>
      <c r="C237" s="6" t="str">
        <f>HYPERLINK("https://www.kmpharma.in/product/8071","KMC015035")</f>
        <v>KMC015035</v>
      </c>
      <c r="D237" s="6" t="s">
        <v>7</v>
      </c>
      <c r="E237" s="7" t="s">
        <v>321</v>
      </c>
    </row>
    <row r="238" spans="1:5" x14ac:dyDescent="0.25">
      <c r="A238" s="3">
        <v>237</v>
      </c>
      <c r="B238" s="3" t="str">
        <f>HYPERLINK("https://www.kmpharma.in/product/8072","Clomipramine Nitroso Impurity 11")</f>
        <v>Clomipramine Nitroso Impurity 11</v>
      </c>
      <c r="C238" s="3" t="str">
        <f>HYPERLINK("https://www.kmpharma.in/product/8072","KMC015036")</f>
        <v>KMC015036</v>
      </c>
      <c r="D238" s="3" t="s">
        <v>7</v>
      </c>
      <c r="E238" s="5" t="s">
        <v>321</v>
      </c>
    </row>
    <row r="239" spans="1:5" x14ac:dyDescent="0.25">
      <c r="A239" s="6">
        <v>238</v>
      </c>
      <c r="B239" s="6" t="str">
        <f>HYPERLINK("https://www.kmpharma.in/product/8073","Clomipramine Nitroso Impurity 12")</f>
        <v>Clomipramine Nitroso Impurity 12</v>
      </c>
      <c r="C239" s="6" t="str">
        <f>HYPERLINK("https://www.kmpharma.in/product/8073","KMC015037")</f>
        <v>KMC015037</v>
      </c>
      <c r="D239" s="6" t="s">
        <v>7</v>
      </c>
      <c r="E239" s="6" t="s">
        <v>16</v>
      </c>
    </row>
    <row r="240" spans="1:5" x14ac:dyDescent="0.25">
      <c r="A240" s="3">
        <v>239</v>
      </c>
      <c r="B240" s="3" t="str">
        <f>HYPERLINK("https://www.kmpharma.in/product/8074","Clomipramine Nitroso Impurity 13")</f>
        <v>Clomipramine Nitroso Impurity 13</v>
      </c>
      <c r="C240" s="3" t="str">
        <f>HYPERLINK("https://www.kmpharma.in/product/8074","KMC015038")</f>
        <v>KMC015038</v>
      </c>
      <c r="D240" s="3" t="s">
        <v>7</v>
      </c>
      <c r="E240" s="5" t="s">
        <v>323</v>
      </c>
    </row>
    <row r="241" spans="1:5" x14ac:dyDescent="0.25">
      <c r="A241" s="6">
        <v>240</v>
      </c>
      <c r="B241" s="6" t="str">
        <f>HYPERLINK("https://www.kmpharma.in/product/8075","Clomipramine Nitroso Impurity 14")</f>
        <v>Clomipramine Nitroso Impurity 14</v>
      </c>
      <c r="C241" s="6" t="str">
        <f>HYPERLINK("https://www.kmpharma.in/product/8075","KMC015039")</f>
        <v>KMC015039</v>
      </c>
      <c r="D241" s="6" t="s">
        <v>7</v>
      </c>
      <c r="E241" s="7" t="s">
        <v>321</v>
      </c>
    </row>
    <row r="242" spans="1:5" x14ac:dyDescent="0.25">
      <c r="A242" s="3">
        <v>241</v>
      </c>
      <c r="B242" s="3" t="str">
        <f>HYPERLINK("https://www.kmpharma.in/product/8081","Clomipramine Nitroso Impurity 15")</f>
        <v>Clomipramine Nitroso Impurity 15</v>
      </c>
      <c r="C242" s="3" t="str">
        <f>HYPERLINK("https://www.kmpharma.in/product/8081","KMC015040")</f>
        <v>KMC015040</v>
      </c>
      <c r="D242" s="3" t="s">
        <v>7</v>
      </c>
      <c r="E242" s="5" t="s">
        <v>321</v>
      </c>
    </row>
    <row r="243" spans="1:5" x14ac:dyDescent="0.25">
      <c r="A243" s="6">
        <v>242</v>
      </c>
      <c r="B243" s="6" t="str">
        <f>HYPERLINK("https://www.kmpharma.in/product/8082","Clomipramine Nitroso Impurity 2")</f>
        <v>Clomipramine Nitroso Impurity 2</v>
      </c>
      <c r="C243" s="6" t="str">
        <f>HYPERLINK("https://www.kmpharma.in/product/8082","KMC015041")</f>
        <v>KMC015041</v>
      </c>
      <c r="D243" s="6" t="s">
        <v>49</v>
      </c>
      <c r="E243" s="7" t="s">
        <v>323</v>
      </c>
    </row>
    <row r="244" spans="1:5" x14ac:dyDescent="0.25">
      <c r="A244" s="3">
        <v>243</v>
      </c>
      <c r="B244" s="3" t="str">
        <f>HYPERLINK("https://www.kmpharma.in/product/8062","Clomipramine Nitroso Impurity 3")</f>
        <v>Clomipramine Nitroso Impurity 3</v>
      </c>
      <c r="C244" s="3" t="str">
        <f>HYPERLINK("https://www.kmpharma.in/product/8062","KMC015042")</f>
        <v>KMC015042</v>
      </c>
      <c r="D244" s="3" t="s">
        <v>7</v>
      </c>
      <c r="E244" s="5" t="s">
        <v>321</v>
      </c>
    </row>
    <row r="245" spans="1:5" x14ac:dyDescent="0.25">
      <c r="A245" s="6">
        <v>244</v>
      </c>
      <c r="B245" s="6" t="str">
        <f>HYPERLINK("https://www.kmpharma.in/product/8083","Clomipramine Nitroso Impurity 4")</f>
        <v>Clomipramine Nitroso Impurity 4</v>
      </c>
      <c r="C245" s="6" t="str">
        <f>HYPERLINK("https://www.kmpharma.in/product/8083","KMC015043")</f>
        <v>KMC015043</v>
      </c>
      <c r="D245" s="6" t="s">
        <v>7</v>
      </c>
      <c r="E245" s="6" t="s">
        <v>16</v>
      </c>
    </row>
    <row r="246" spans="1:5" x14ac:dyDescent="0.25">
      <c r="A246" s="3">
        <v>245</v>
      </c>
      <c r="B246" s="3" t="str">
        <f>HYPERLINK("https://www.kmpharma.in/product/8084","Clomipramine Nitroso Impurity 5")</f>
        <v>Clomipramine Nitroso Impurity 5</v>
      </c>
      <c r="C246" s="3" t="str">
        <f>HYPERLINK("https://www.kmpharma.in/product/8084","KMC015044")</f>
        <v>KMC015044</v>
      </c>
      <c r="D246" s="3" t="s">
        <v>7</v>
      </c>
      <c r="E246" s="5" t="s">
        <v>321</v>
      </c>
    </row>
    <row r="247" spans="1:5" x14ac:dyDescent="0.25">
      <c r="A247" s="6">
        <v>246</v>
      </c>
      <c r="B247" s="6" t="str">
        <f>HYPERLINK("https://www.kmpharma.in/product/8076","Clomipramine Nitroso Impurity 6")</f>
        <v>Clomipramine Nitroso Impurity 6</v>
      </c>
      <c r="C247" s="6" t="str">
        <f>HYPERLINK("https://www.kmpharma.in/product/8076","KMC015045")</f>
        <v>KMC015045</v>
      </c>
      <c r="D247" s="6" t="s">
        <v>7</v>
      </c>
      <c r="E247" s="7" t="s">
        <v>321</v>
      </c>
    </row>
    <row r="248" spans="1:5" x14ac:dyDescent="0.25">
      <c r="A248" s="3">
        <v>247</v>
      </c>
      <c r="B248" s="3" t="str">
        <f>HYPERLINK("https://www.kmpharma.in/product/8077","Clomipramine Nitroso Impurity 7")</f>
        <v>Clomipramine Nitroso Impurity 7</v>
      </c>
      <c r="C248" s="3" t="str">
        <f>HYPERLINK("https://www.kmpharma.in/product/8077","KMC015046")</f>
        <v>KMC015046</v>
      </c>
      <c r="D248" s="3" t="s">
        <v>7</v>
      </c>
      <c r="E248" s="5" t="s">
        <v>321</v>
      </c>
    </row>
    <row r="249" spans="1:5" x14ac:dyDescent="0.25">
      <c r="A249" s="6">
        <v>248</v>
      </c>
      <c r="B249" s="6" t="str">
        <f>HYPERLINK("https://www.kmpharma.in/product/8078","Clomipramine Nitroso Impurity 8")</f>
        <v>Clomipramine Nitroso Impurity 8</v>
      </c>
      <c r="C249" s="6" t="str">
        <f>HYPERLINK("https://www.kmpharma.in/product/8078","KMC015047")</f>
        <v>KMC015047</v>
      </c>
      <c r="D249" s="6" t="s">
        <v>7</v>
      </c>
      <c r="E249" s="7" t="s">
        <v>321</v>
      </c>
    </row>
    <row r="250" spans="1:5" x14ac:dyDescent="0.25">
      <c r="A250" s="3">
        <v>249</v>
      </c>
      <c r="B250" s="3" t="str">
        <f>HYPERLINK("https://www.kmpharma.in/product/8079","Clomipramine Nitroso Impurity 9")</f>
        <v>Clomipramine Nitroso Impurity 9</v>
      </c>
      <c r="C250" s="3" t="str">
        <f>HYPERLINK("https://www.kmpharma.in/product/8079","KMC015048")</f>
        <v>KMC015048</v>
      </c>
      <c r="D250" s="3" t="s">
        <v>7</v>
      </c>
      <c r="E250" s="5" t="s">
        <v>322</v>
      </c>
    </row>
    <row r="251" spans="1:5" x14ac:dyDescent="0.25">
      <c r="A251" s="6">
        <v>250</v>
      </c>
      <c r="B251" s="6" t="str">
        <f>HYPERLINK("https://www.kmpharma.in/product/8142","Clonixin Nitroso Impurity")</f>
        <v>Clonixin Nitroso Impurity</v>
      </c>
      <c r="C251" s="6" t="str">
        <f>HYPERLINK("https://www.kmpharma.in/product/8142","KMC202008")</f>
        <v>KMC202008</v>
      </c>
      <c r="D251" s="6" t="s">
        <v>7</v>
      </c>
      <c r="E251" s="7" t="s">
        <v>323</v>
      </c>
    </row>
    <row r="252" spans="1:5" x14ac:dyDescent="0.25">
      <c r="A252" s="3">
        <v>251</v>
      </c>
      <c r="B252" s="3" t="str">
        <f>HYPERLINK("https://www.kmpharma.in/product/8225","Clopidogrel Nitroso Impurity")</f>
        <v>Clopidogrel Nitroso Impurity</v>
      </c>
      <c r="C252" s="3" t="str">
        <f>HYPERLINK("https://www.kmpharma.in/product/8225","KMC204060")</f>
        <v>KMC204060</v>
      </c>
      <c r="D252" s="3" t="s">
        <v>50</v>
      </c>
      <c r="E252" s="5" t="s">
        <v>321</v>
      </c>
    </row>
    <row r="253" spans="1:5" x14ac:dyDescent="0.25">
      <c r="A253" s="6">
        <v>252</v>
      </c>
      <c r="B253" s="6" t="str">
        <f>HYPERLINK("https://www.kmpharma.in/product/8227","Clopidogrel Nitroso Impurity 1")</f>
        <v>Clopidogrel Nitroso Impurity 1</v>
      </c>
      <c r="C253" s="6" t="str">
        <f>HYPERLINK("https://www.kmpharma.in/product/8227","KMC204061")</f>
        <v>KMC204061</v>
      </c>
      <c r="D253" s="6" t="s">
        <v>7</v>
      </c>
      <c r="E253" s="7" t="s">
        <v>321</v>
      </c>
    </row>
    <row r="254" spans="1:5" x14ac:dyDescent="0.25">
      <c r="A254" s="3">
        <v>253</v>
      </c>
      <c r="B254" s="3" t="str">
        <f>HYPERLINK("https://www.kmpharma.in/product/8228","Clopidogrel Nitroso Impurity 2")</f>
        <v>Clopidogrel Nitroso Impurity 2</v>
      </c>
      <c r="C254" s="3" t="str">
        <f>HYPERLINK("https://www.kmpharma.in/product/8228","KMC204062")</f>
        <v>KMC204062</v>
      </c>
      <c r="D254" s="3" t="s">
        <v>7</v>
      </c>
      <c r="E254" s="5" t="s">
        <v>323</v>
      </c>
    </row>
    <row r="255" spans="1:5" x14ac:dyDescent="0.25">
      <c r="A255" s="6">
        <v>254</v>
      </c>
      <c r="B255" s="6" t="str">
        <f>HYPERLINK("https://www.kmpharma.in/product/8298","Clozapine Dinitroso Impurity")</f>
        <v>Clozapine Dinitroso Impurity</v>
      </c>
      <c r="C255" s="6" t="str">
        <f>HYPERLINK("https://www.kmpharma.in/product/8298","KMC017005")</f>
        <v>KMC017005</v>
      </c>
      <c r="D255" s="6" t="s">
        <v>7</v>
      </c>
      <c r="E255" s="7" t="s">
        <v>323</v>
      </c>
    </row>
    <row r="256" spans="1:5" x14ac:dyDescent="0.25">
      <c r="A256" s="3">
        <v>255</v>
      </c>
      <c r="B256" s="3" t="str">
        <f>HYPERLINK("https://www.kmpharma.in/product/8299","Clozapine Nitroso EP Impurity C")</f>
        <v>Clozapine Nitroso EP Impurity C</v>
      </c>
      <c r="C256" s="3" t="str">
        <f>HYPERLINK("https://www.kmpharma.in/product/8299","KMC017020")</f>
        <v>KMC017020</v>
      </c>
      <c r="D256" s="3" t="s">
        <v>7</v>
      </c>
      <c r="E256" s="5" t="s">
        <v>321</v>
      </c>
    </row>
    <row r="257" spans="1:5" x14ac:dyDescent="0.25">
      <c r="A257" s="6">
        <v>256</v>
      </c>
      <c r="B257" s="6" t="str">
        <f>HYPERLINK("https://www.kmpharma.in/product/8300","Clozapine Nitroso EP Impurity C (TFA Salt)")</f>
        <v>Clozapine Nitroso EP Impurity C (TFA Salt)</v>
      </c>
      <c r="C257" s="6" t="str">
        <f>HYPERLINK("https://www.kmpharma.in/product/8300","KMC017021")</f>
        <v>KMC017021</v>
      </c>
      <c r="D257" s="6" t="s">
        <v>7</v>
      </c>
      <c r="E257" s="7" t="s">
        <v>323</v>
      </c>
    </row>
    <row r="258" spans="1:5" x14ac:dyDescent="0.25">
      <c r="A258" s="3">
        <v>257</v>
      </c>
      <c r="B258" s="3" t="str">
        <f>HYPERLINK("https://www.kmpharma.in/product/8342","Cobimetinib Nitroso Impurity")</f>
        <v>Cobimetinib Nitroso Impurity</v>
      </c>
      <c r="C258" s="3" t="str">
        <f>HYPERLINK("https://www.kmpharma.in/product/8342","KMC214003")</f>
        <v>KMC214003</v>
      </c>
      <c r="D258" s="3" t="s">
        <v>7</v>
      </c>
      <c r="E258" s="5" t="s">
        <v>321</v>
      </c>
    </row>
    <row r="259" spans="1:5" x14ac:dyDescent="0.25">
      <c r="A259" s="6">
        <v>258</v>
      </c>
      <c r="B259" s="6" t="str">
        <f>HYPERLINK("https://www.kmpharma.in/product/8343","Cobimetinib Nitroso Impurity 1")</f>
        <v>Cobimetinib Nitroso Impurity 1</v>
      </c>
      <c r="C259" s="6" t="str">
        <f>HYPERLINK("https://www.kmpharma.in/product/8343","KMC214004")</f>
        <v>KMC214004</v>
      </c>
      <c r="D259" s="6" t="s">
        <v>7</v>
      </c>
      <c r="E259" s="6" t="s">
        <v>16</v>
      </c>
    </row>
    <row r="260" spans="1:5" x14ac:dyDescent="0.25">
      <c r="A260" s="3">
        <v>259</v>
      </c>
      <c r="B260" s="3" t="str">
        <f>HYPERLINK("https://www.kmpharma.in/product/8344","Cobimetinib Nitroso Impurity 2")</f>
        <v>Cobimetinib Nitroso Impurity 2</v>
      </c>
      <c r="C260" s="3" t="str">
        <f>HYPERLINK("https://www.kmpharma.in/product/8344","KMC214005")</f>
        <v>KMC214005</v>
      </c>
      <c r="D260" s="3" t="s">
        <v>7</v>
      </c>
      <c r="E260" s="5" t="s">
        <v>323</v>
      </c>
    </row>
    <row r="261" spans="1:5" x14ac:dyDescent="0.25">
      <c r="A261" s="6">
        <v>260</v>
      </c>
      <c r="B261" s="6" t="str">
        <f>HYPERLINK("https://www.kmpharma.in/product/8515","Crizotinib Nitroso Impurity")</f>
        <v>Crizotinib Nitroso Impurity</v>
      </c>
      <c r="C261" s="6" t="str">
        <f>HYPERLINK("https://www.kmpharma.in/product/8515","KMC232011")</f>
        <v>KMC232011</v>
      </c>
      <c r="D261" s="6" t="s">
        <v>7</v>
      </c>
      <c r="E261" s="6" t="s">
        <v>16</v>
      </c>
    </row>
    <row r="262" spans="1:5" x14ac:dyDescent="0.25">
      <c r="A262" s="3">
        <v>261</v>
      </c>
      <c r="B262" s="3" t="str">
        <f>HYPERLINK("https://www.kmpharma.in/product/8641","Cyclophosphamide Nitroso Impurity 1")</f>
        <v>Cyclophosphamide Nitroso Impurity 1</v>
      </c>
      <c r="C262" s="3" t="str">
        <f>HYPERLINK("https://www.kmpharma.in/product/8641","KMC020037")</f>
        <v>KMC020037</v>
      </c>
      <c r="D262" s="3" t="s">
        <v>7</v>
      </c>
      <c r="E262" s="5" t="s">
        <v>322</v>
      </c>
    </row>
    <row r="263" spans="1:5" x14ac:dyDescent="0.25">
      <c r="A263" s="6">
        <v>262</v>
      </c>
      <c r="B263" s="6" t="str">
        <f>HYPERLINK("https://www.kmpharma.in/product/8642","Cyclophosphamide Nitroso Impurity 4")</f>
        <v>Cyclophosphamide Nitroso Impurity 4</v>
      </c>
      <c r="C263" s="6" t="str">
        <f>HYPERLINK("https://www.kmpharma.in/product/8642","KMC020038")</f>
        <v>KMC020038</v>
      </c>
      <c r="D263" s="6" t="s">
        <v>7</v>
      </c>
      <c r="E263" s="7" t="s">
        <v>321</v>
      </c>
    </row>
    <row r="264" spans="1:5" x14ac:dyDescent="0.25">
      <c r="A264" s="3">
        <v>263</v>
      </c>
      <c r="B264" s="3" t="str">
        <f>HYPERLINK("https://www.kmpharma.in/product/35786","Dabigatran Nitroso Impurity 11")</f>
        <v>Dabigatran Nitroso Impurity 11</v>
      </c>
      <c r="C264" s="3" t="str">
        <f>HYPERLINK("https://www.kmpharma.in/product/35786","KMD029120")</f>
        <v>KMD029120</v>
      </c>
      <c r="D264" s="3" t="s">
        <v>7</v>
      </c>
      <c r="E264" s="5" t="s">
        <v>321</v>
      </c>
    </row>
    <row r="265" spans="1:5" x14ac:dyDescent="0.25">
      <c r="A265" s="6">
        <v>264</v>
      </c>
      <c r="B265" s="6" t="str">
        <f>HYPERLINK("https://www.kmpharma.in/product/35787","Dabigatran Nitroso Impurity 12")</f>
        <v>Dabigatran Nitroso Impurity 12</v>
      </c>
      <c r="C265" s="6" t="str">
        <f>HYPERLINK("https://www.kmpharma.in/product/35787","KMD029121")</f>
        <v>KMD029121</v>
      </c>
      <c r="D265" s="6" t="s">
        <v>7</v>
      </c>
      <c r="E265" s="6" t="s">
        <v>16</v>
      </c>
    </row>
    <row r="266" spans="1:5" x14ac:dyDescent="0.25">
      <c r="A266" s="3">
        <v>265</v>
      </c>
      <c r="B266" s="3" t="str">
        <f>HYPERLINK("https://www.kmpharma.in/product/35775","Dabigatran Nitroso Impurity 13")</f>
        <v>Dabigatran Nitroso Impurity 13</v>
      </c>
      <c r="C266" s="3" t="str">
        <f>HYPERLINK("https://www.kmpharma.in/product/35775","KMD029122")</f>
        <v>KMD029122</v>
      </c>
      <c r="D266" s="3" t="s">
        <v>7</v>
      </c>
      <c r="E266" s="5" t="s">
        <v>321</v>
      </c>
    </row>
    <row r="267" spans="1:5" x14ac:dyDescent="0.25">
      <c r="A267" s="6">
        <v>266</v>
      </c>
      <c r="B267" s="6" t="str">
        <f>HYPERLINK("https://www.kmpharma.in/product/35776","Dabigatran Nitroso Impurity 14")</f>
        <v>Dabigatran Nitroso Impurity 14</v>
      </c>
      <c r="C267" s="6" t="str">
        <f>HYPERLINK("https://www.kmpharma.in/product/35776","KMD029123")</f>
        <v>KMD029123</v>
      </c>
      <c r="D267" s="6" t="s">
        <v>7</v>
      </c>
      <c r="E267" s="6" t="s">
        <v>16</v>
      </c>
    </row>
    <row r="268" spans="1:5" x14ac:dyDescent="0.25">
      <c r="A268" s="3">
        <v>267</v>
      </c>
      <c r="B268" s="3" t="str">
        <f>HYPERLINK("https://www.kmpharma.in/product/35785","Dabigatran Nitroso Impurity 15")</f>
        <v>Dabigatran Nitroso Impurity 15</v>
      </c>
      <c r="C268" s="3" t="str">
        <f>HYPERLINK("https://www.kmpharma.in/product/35785","KMD029124")</f>
        <v>KMD029124</v>
      </c>
      <c r="D268" s="3" t="s">
        <v>7</v>
      </c>
      <c r="E268" s="3" t="s">
        <v>16</v>
      </c>
    </row>
    <row r="269" spans="1:5" x14ac:dyDescent="0.25">
      <c r="A269" s="6">
        <v>268</v>
      </c>
      <c r="B269" s="6" t="str">
        <f>HYPERLINK("https://www.kmpharma.in/product/35777","Dabigatran Nitroso Impurity 16")</f>
        <v>Dabigatran Nitroso Impurity 16</v>
      </c>
      <c r="C269" s="6" t="str">
        <f>HYPERLINK("https://www.kmpharma.in/product/35777","KMD029125")</f>
        <v>KMD029125</v>
      </c>
      <c r="D269" s="6" t="s">
        <v>7</v>
      </c>
      <c r="E269" s="6" t="s">
        <v>16</v>
      </c>
    </row>
    <row r="270" spans="1:5" x14ac:dyDescent="0.25">
      <c r="A270" s="3">
        <v>269</v>
      </c>
      <c r="B270" s="3" t="str">
        <f>HYPERLINK("https://www.kmpharma.in/product/35778","Dabigatran Nitroso Impurity 17")</f>
        <v>Dabigatran Nitroso Impurity 17</v>
      </c>
      <c r="C270" s="3" t="str">
        <f>HYPERLINK("https://www.kmpharma.in/product/35778","KMD029126")</f>
        <v>KMD029126</v>
      </c>
      <c r="D270" s="3" t="s">
        <v>7</v>
      </c>
      <c r="E270" s="5" t="s">
        <v>321</v>
      </c>
    </row>
    <row r="271" spans="1:5" x14ac:dyDescent="0.25">
      <c r="A271" s="6">
        <v>270</v>
      </c>
      <c r="B271" s="6" t="str">
        <f>HYPERLINK("https://www.kmpharma.in/product/35779","Dabigatran Nitroso Impurity 18")</f>
        <v>Dabigatran Nitroso Impurity 18</v>
      </c>
      <c r="C271" s="6" t="str">
        <f>HYPERLINK("https://www.kmpharma.in/product/35779","KMD029127")</f>
        <v>KMD029127</v>
      </c>
      <c r="D271" s="6" t="s">
        <v>7</v>
      </c>
      <c r="E271" s="6" t="s">
        <v>16</v>
      </c>
    </row>
    <row r="272" spans="1:5" x14ac:dyDescent="0.25">
      <c r="A272" s="3">
        <v>271</v>
      </c>
      <c r="B272" s="3" t="str">
        <f>HYPERLINK("https://www.kmpharma.in/product/35788","Dabigatran Nitroso Impurity 19")</f>
        <v>Dabigatran Nitroso Impurity 19</v>
      </c>
      <c r="C272" s="3" t="str">
        <f>HYPERLINK("https://www.kmpharma.in/product/35788","KMD029128")</f>
        <v>KMD029128</v>
      </c>
      <c r="D272" s="3" t="s">
        <v>7</v>
      </c>
      <c r="E272" s="3" t="s">
        <v>16</v>
      </c>
    </row>
    <row r="273" spans="1:5" x14ac:dyDescent="0.25">
      <c r="A273" s="6">
        <v>272</v>
      </c>
      <c r="B273" s="6" t="str">
        <f>HYPERLINK("https://www.kmpharma.in/product/35789","Dabigatran Nitroso Impurity 2")</f>
        <v>Dabigatran Nitroso Impurity 2</v>
      </c>
      <c r="C273" s="6" t="str">
        <f>HYPERLINK("https://www.kmpharma.in/product/35789","KMD029129")</f>
        <v>KMD029129</v>
      </c>
      <c r="D273" s="6" t="s">
        <v>7</v>
      </c>
      <c r="E273" s="7" t="s">
        <v>321</v>
      </c>
    </row>
    <row r="274" spans="1:5" x14ac:dyDescent="0.25">
      <c r="A274" s="3">
        <v>273</v>
      </c>
      <c r="B274" s="3" t="str">
        <f>HYPERLINK("https://www.kmpharma.in/product/35790","Dabigatran Nitroso Impurity 20")</f>
        <v>Dabigatran Nitroso Impurity 20</v>
      </c>
      <c r="C274" s="3" t="str">
        <f>HYPERLINK("https://www.kmpharma.in/product/35790","KMD029130")</f>
        <v>KMD029130</v>
      </c>
      <c r="D274" s="3" t="s">
        <v>7</v>
      </c>
      <c r="E274" s="5" t="s">
        <v>327</v>
      </c>
    </row>
    <row r="275" spans="1:5" x14ac:dyDescent="0.25">
      <c r="A275" s="6">
        <v>274</v>
      </c>
      <c r="B275" s="6" t="str">
        <f>HYPERLINK("https://www.kmpharma.in/product/35791","Dabigatran Nitroso Impurity 21")</f>
        <v>Dabigatran Nitroso Impurity 21</v>
      </c>
      <c r="C275" s="6" t="str">
        <f>HYPERLINK("https://www.kmpharma.in/product/35791","KMD029131")</f>
        <v>KMD029131</v>
      </c>
      <c r="D275" s="6" t="s">
        <v>7</v>
      </c>
      <c r="E275" s="7" t="s">
        <v>322</v>
      </c>
    </row>
    <row r="276" spans="1:5" x14ac:dyDescent="0.25">
      <c r="A276" s="3">
        <v>275</v>
      </c>
      <c r="B276" s="3" t="str">
        <f>HYPERLINK("https://www.kmpharma.in/product/35780","Dabigatran Nitroso Impurity 3")</f>
        <v>Dabigatran Nitroso Impurity 3</v>
      </c>
      <c r="C276" s="3" t="str">
        <f>HYPERLINK("https://www.kmpharma.in/product/35780","KMD029132")</f>
        <v>KMD029132</v>
      </c>
      <c r="D276" s="3" t="s">
        <v>7</v>
      </c>
      <c r="E276" s="5" t="s">
        <v>322</v>
      </c>
    </row>
    <row r="277" spans="1:5" x14ac:dyDescent="0.25">
      <c r="A277" s="6">
        <v>276</v>
      </c>
      <c r="B277" s="6" t="str">
        <f>HYPERLINK("https://www.kmpharma.in/product/35794","Dabigatran Nitroso Impurity 4")</f>
        <v>Dabigatran Nitroso Impurity 4</v>
      </c>
      <c r="C277" s="6" t="str">
        <f>HYPERLINK("https://www.kmpharma.in/product/35794","KMD029133")</f>
        <v>KMD029133</v>
      </c>
      <c r="D277" s="6" t="s">
        <v>7</v>
      </c>
      <c r="E277" s="6" t="s">
        <v>16</v>
      </c>
    </row>
    <row r="278" spans="1:5" x14ac:dyDescent="0.25">
      <c r="A278" s="3">
        <v>277</v>
      </c>
      <c r="B278" s="3" t="str">
        <f>HYPERLINK("https://www.kmpharma.in/product/35781","Dabigatran Nitroso Impurity 5")</f>
        <v>Dabigatran Nitroso Impurity 5</v>
      </c>
      <c r="C278" s="3" t="str">
        <f>HYPERLINK("https://www.kmpharma.in/product/35781","KMD029134")</f>
        <v>KMD029134</v>
      </c>
      <c r="D278" s="3" t="s">
        <v>7</v>
      </c>
      <c r="E278" s="3" t="s">
        <v>16</v>
      </c>
    </row>
    <row r="279" spans="1:5" x14ac:dyDescent="0.25">
      <c r="A279" s="6">
        <v>278</v>
      </c>
      <c r="B279" s="6" t="str">
        <f>HYPERLINK("https://www.kmpharma.in/product/35792","Dabigatran Nitroso Impurity 6")</f>
        <v>Dabigatran Nitroso Impurity 6</v>
      </c>
      <c r="C279" s="6" t="str">
        <f>HYPERLINK("https://www.kmpharma.in/product/35792","KMD029135")</f>
        <v>KMD029135</v>
      </c>
      <c r="D279" s="6" t="s">
        <v>7</v>
      </c>
      <c r="E279" s="7" t="s">
        <v>322</v>
      </c>
    </row>
    <row r="280" spans="1:5" x14ac:dyDescent="0.25">
      <c r="A280" s="3">
        <v>279</v>
      </c>
      <c r="B280" s="3" t="str">
        <f>HYPERLINK("https://www.kmpharma.in/product/35782","Dabigatran Nitroso Impurity 7")</f>
        <v>Dabigatran Nitroso Impurity 7</v>
      </c>
      <c r="C280" s="3" t="str">
        <f>HYPERLINK("https://www.kmpharma.in/product/35782","KMD029136")</f>
        <v>KMD029136</v>
      </c>
      <c r="D280" s="3" t="s">
        <v>7</v>
      </c>
      <c r="E280" s="5" t="s">
        <v>322</v>
      </c>
    </row>
    <row r="281" spans="1:5" x14ac:dyDescent="0.25">
      <c r="A281" s="6">
        <v>280</v>
      </c>
      <c r="B281" s="6" t="str">
        <f>HYPERLINK("https://www.kmpharma.in/product/35793","Dabigatran Nitroso Impurity 8")</f>
        <v>Dabigatran Nitroso Impurity 8</v>
      </c>
      <c r="C281" s="6" t="str">
        <f>HYPERLINK("https://www.kmpharma.in/product/35793","KMD029137")</f>
        <v>KMD029137</v>
      </c>
      <c r="D281" s="6" t="s">
        <v>7</v>
      </c>
      <c r="E281" s="7" t="s">
        <v>322</v>
      </c>
    </row>
    <row r="282" spans="1:5" x14ac:dyDescent="0.25">
      <c r="A282" s="3">
        <v>281</v>
      </c>
      <c r="B282" s="3" t="str">
        <f>HYPERLINK("https://www.kmpharma.in/product/35783","Dabigatran Nitroso Impurity 9")</f>
        <v>Dabigatran Nitroso Impurity 9</v>
      </c>
      <c r="C282" s="3" t="str">
        <f>HYPERLINK("https://www.kmpharma.in/product/35783","KMD029138")</f>
        <v>KMD029138</v>
      </c>
      <c r="D282" s="3" t="s">
        <v>7</v>
      </c>
      <c r="E282" s="5" t="s">
        <v>321</v>
      </c>
    </row>
    <row r="283" spans="1:5" x14ac:dyDescent="0.25">
      <c r="A283" s="6">
        <v>282</v>
      </c>
      <c r="B283" s="6" t="str">
        <f>HYPERLINK("https://www.kmpharma.in/product/8806","Dacarbazine Nitroso Impurity")</f>
        <v>Dacarbazine Nitroso Impurity</v>
      </c>
      <c r="C283" s="6" t="str">
        <f>HYPERLINK("https://www.kmpharma.in/product/8806","KMD031009")</f>
        <v>KMD031009</v>
      </c>
      <c r="D283" s="6" t="s">
        <v>7</v>
      </c>
      <c r="E283" s="7" t="s">
        <v>321</v>
      </c>
    </row>
    <row r="284" spans="1:5" x14ac:dyDescent="0.25">
      <c r="A284" s="3">
        <v>283</v>
      </c>
      <c r="B284" s="3" t="str">
        <f>HYPERLINK("https://www.kmpharma.in/product/8843","Daclatasvir Nitroso Impurity")</f>
        <v>Daclatasvir Nitroso Impurity</v>
      </c>
      <c r="C284" s="3" t="str">
        <f>HYPERLINK("https://www.kmpharma.in/product/8843","KMD032020")</f>
        <v>KMD032020</v>
      </c>
      <c r="D284" s="3" t="s">
        <v>7</v>
      </c>
      <c r="E284" s="5" t="s">
        <v>321</v>
      </c>
    </row>
    <row r="285" spans="1:5" x14ac:dyDescent="0.25">
      <c r="A285" s="6">
        <v>284</v>
      </c>
      <c r="B285" s="6" t="str">
        <f>HYPERLINK("https://www.kmpharma.in/product/8844","Daclatasvir Nitroso Impurity 1")</f>
        <v>Daclatasvir Nitroso Impurity 1</v>
      </c>
      <c r="C285" s="6" t="str">
        <f>HYPERLINK("https://www.kmpharma.in/product/8844","KMD032021")</f>
        <v>KMD032021</v>
      </c>
      <c r="D285" s="6" t="s">
        <v>7</v>
      </c>
      <c r="E285" s="7" t="s">
        <v>321</v>
      </c>
    </row>
    <row r="286" spans="1:5" x14ac:dyDescent="0.25">
      <c r="A286" s="3">
        <v>285</v>
      </c>
      <c r="B286" s="3" t="str">
        <f>HYPERLINK("https://www.kmpharma.in/product/8845","Daclatasvir Nitroso Impurity 2")</f>
        <v>Daclatasvir Nitroso Impurity 2</v>
      </c>
      <c r="C286" s="3" t="str">
        <f>HYPERLINK("https://www.kmpharma.in/product/8845","KMD032022")</f>
        <v>KMD032022</v>
      </c>
      <c r="D286" s="3" t="s">
        <v>7</v>
      </c>
      <c r="E286" s="5" t="s">
        <v>321</v>
      </c>
    </row>
    <row r="287" spans="1:5" x14ac:dyDescent="0.25">
      <c r="A287" s="6">
        <v>286</v>
      </c>
      <c r="B287" s="6" t="str">
        <f>HYPERLINK("https://www.kmpharma.in/product/8856","Dacomitinib Nitroso Impurity")</f>
        <v>Dacomitinib Nitroso Impurity</v>
      </c>
      <c r="C287" s="6" t="str">
        <f>HYPERLINK("https://www.kmpharma.in/product/8856","KMD033009")</f>
        <v>KMD033009</v>
      </c>
      <c r="D287" s="6" t="s">
        <v>7</v>
      </c>
      <c r="E287" s="7" t="s">
        <v>321</v>
      </c>
    </row>
    <row r="288" spans="1:5" x14ac:dyDescent="0.25">
      <c r="A288" s="3">
        <v>287</v>
      </c>
      <c r="B288" s="3" t="str">
        <f>HYPERLINK("https://www.kmpharma.in/product/9069","Darifenacin Amide Nitroso Impurity")</f>
        <v>Darifenacin Amide Nitroso Impurity</v>
      </c>
      <c r="C288" s="3" t="str">
        <f>HYPERLINK("https://www.kmpharma.in/product/9069","KMD003010")</f>
        <v>KMD003010</v>
      </c>
      <c r="D288" s="3" t="s">
        <v>7</v>
      </c>
      <c r="E288" s="5" t="s">
        <v>323</v>
      </c>
    </row>
    <row r="289" spans="1:5" x14ac:dyDescent="0.25">
      <c r="A289" s="6">
        <v>288</v>
      </c>
      <c r="B289" s="6" t="str">
        <f>HYPERLINK("https://www.kmpharma.in/product/9068","Darifenacin Cyano Pyrrolidine Nitroso Impurity")</f>
        <v>Darifenacin Cyano Pyrrolidine Nitroso Impurity</v>
      </c>
      <c r="C289" s="6" t="str">
        <f>HYPERLINK("https://www.kmpharma.in/product/9068","KMD003014")</f>
        <v>KMD003014</v>
      </c>
      <c r="D289" s="6" t="s">
        <v>7</v>
      </c>
      <c r="E289" s="7" t="s">
        <v>321</v>
      </c>
    </row>
    <row r="290" spans="1:5" x14ac:dyDescent="0.25">
      <c r="A290" s="3">
        <v>289</v>
      </c>
      <c r="B290" s="3" t="str">
        <f>HYPERLINK("https://www.kmpharma.in/product/9070","Darifenacin Nitroso Impurity 1")</f>
        <v>Darifenacin Nitroso Impurity 1</v>
      </c>
      <c r="C290" s="3" t="str">
        <f>HYPERLINK("https://www.kmpharma.in/product/9070","KMD003045")</f>
        <v>KMD003045</v>
      </c>
      <c r="D290" s="3" t="s">
        <v>7</v>
      </c>
      <c r="E290" s="5" t="s">
        <v>321</v>
      </c>
    </row>
    <row r="291" spans="1:5" x14ac:dyDescent="0.25">
      <c r="A291" s="6">
        <v>290</v>
      </c>
      <c r="B291" s="6" t="str">
        <f>HYPERLINK("https://www.kmpharma.in/product/9080","Darolutamide Nitroso Impurity")</f>
        <v>Darolutamide Nitroso Impurity</v>
      </c>
      <c r="C291" s="6" t="str">
        <f>HYPERLINK("https://www.kmpharma.in/product/9080","KMD047008")</f>
        <v>KMD047008</v>
      </c>
      <c r="D291" s="6" t="s">
        <v>7</v>
      </c>
      <c r="E291" s="7" t="s">
        <v>321</v>
      </c>
    </row>
    <row r="292" spans="1:5" x14ac:dyDescent="0.25">
      <c r="A292" s="3">
        <v>291</v>
      </c>
      <c r="B292" s="3" t="str">
        <f>HYPERLINK("https://www.kmpharma.in/product/9081","Darolutamide Nitroso Impurity 1")</f>
        <v>Darolutamide Nitroso Impurity 1</v>
      </c>
      <c r="C292" s="3" t="str">
        <f>HYPERLINK("https://www.kmpharma.in/product/9081","KMD047009")</f>
        <v>KMD047009</v>
      </c>
      <c r="D292" s="3" t="s">
        <v>7</v>
      </c>
      <c r="E292" s="5" t="s">
        <v>323</v>
      </c>
    </row>
    <row r="293" spans="1:5" x14ac:dyDescent="0.25">
      <c r="A293" s="6">
        <v>292</v>
      </c>
      <c r="B293" s="6" t="str">
        <f>HYPERLINK("https://www.kmpharma.in/product/9082","Darolutamide Nitroso Impurity 2")</f>
        <v>Darolutamide Nitroso Impurity 2</v>
      </c>
      <c r="C293" s="6" t="str">
        <f>HYPERLINK("https://www.kmpharma.in/product/9082","KMD047010")</f>
        <v>KMD047010</v>
      </c>
      <c r="D293" s="6" t="s">
        <v>7</v>
      </c>
      <c r="E293" s="7" t="s">
        <v>321</v>
      </c>
    </row>
    <row r="294" spans="1:5" x14ac:dyDescent="0.25">
      <c r="A294" s="3">
        <v>293</v>
      </c>
      <c r="B294" s="3" t="str">
        <f>HYPERLINK("https://www.kmpharma.in/product/9242","Dasatinib N-Oxide Nitroso Impurity")</f>
        <v>Dasatinib N-Oxide Nitroso Impurity</v>
      </c>
      <c r="C294" s="3" t="str">
        <f>HYPERLINK("https://www.kmpharma.in/product/9242","KMD048067")</f>
        <v>KMD048067</v>
      </c>
      <c r="D294" s="3" t="s">
        <v>7</v>
      </c>
      <c r="E294" s="5" t="s">
        <v>323</v>
      </c>
    </row>
    <row r="295" spans="1:5" x14ac:dyDescent="0.25">
      <c r="A295" s="6">
        <v>294</v>
      </c>
      <c r="B295" s="6" t="str">
        <f>HYPERLINK("https://www.kmpharma.in/product/9245","Dasatinib Nitroso Impurity")</f>
        <v>Dasatinib Nitroso Impurity</v>
      </c>
      <c r="C295" s="6" t="str">
        <f>HYPERLINK("https://www.kmpharma.in/product/9245","KMD048068")</f>
        <v>KMD048068</v>
      </c>
      <c r="D295" s="6" t="s">
        <v>7</v>
      </c>
      <c r="E295" s="7" t="s">
        <v>323</v>
      </c>
    </row>
    <row r="296" spans="1:5" x14ac:dyDescent="0.25">
      <c r="A296" s="3">
        <v>295</v>
      </c>
      <c r="B296" s="3" t="str">
        <f>HYPERLINK("https://www.kmpharma.in/product/9240","Dasatinib Nitroso Impurity 1")</f>
        <v>Dasatinib Nitroso Impurity 1</v>
      </c>
      <c r="C296" s="3" t="str">
        <f>HYPERLINK("https://www.kmpharma.in/product/9240","KMD048069")</f>
        <v>KMD048069</v>
      </c>
      <c r="D296" s="3" t="s">
        <v>7</v>
      </c>
      <c r="E296" s="5" t="s">
        <v>322</v>
      </c>
    </row>
    <row r="297" spans="1:5" x14ac:dyDescent="0.25">
      <c r="A297" s="6">
        <v>296</v>
      </c>
      <c r="B297" s="6" t="str">
        <f>HYPERLINK("https://www.kmpharma.in/product/9241","Dasatinib Nitroso Impurity 2")</f>
        <v>Dasatinib Nitroso Impurity 2</v>
      </c>
      <c r="C297" s="6" t="str">
        <f>HYPERLINK("https://www.kmpharma.in/product/9241","KMD048070")</f>
        <v>KMD048070</v>
      </c>
      <c r="D297" s="6" t="s">
        <v>7</v>
      </c>
      <c r="E297" s="7" t="s">
        <v>321</v>
      </c>
    </row>
    <row r="298" spans="1:5" x14ac:dyDescent="0.25">
      <c r="A298" s="3">
        <v>297</v>
      </c>
      <c r="B298" s="3" t="str">
        <f>HYPERLINK("https://www.kmpharma.in/product/22849","Dehydronitrosonisoldipine")</f>
        <v>Dehydronitrosonisoldipine</v>
      </c>
      <c r="C298" s="3" t="str">
        <f>HYPERLINK("https://www.kmpharma.in/product/22849","KMN076001")</f>
        <v>KMN076001</v>
      </c>
      <c r="D298" s="3" t="s">
        <v>51</v>
      </c>
      <c r="E298" s="5" t="s">
        <v>321</v>
      </c>
    </row>
    <row r="299" spans="1:5" x14ac:dyDescent="0.25">
      <c r="A299" s="6">
        <v>298</v>
      </c>
      <c r="B299" s="6" t="str">
        <f>HYPERLINK("https://www.kmpharma.in/product/5207","Desbutyl Bupivacaine Nitroso Impurity")</f>
        <v>Desbutyl Bupivacaine Nitroso Impurity</v>
      </c>
      <c r="C299" s="6" t="str">
        <f>HYPERLINK("https://www.kmpharma.in/product/5207","KMB117025")</f>
        <v>KMB117025</v>
      </c>
      <c r="D299" s="6" t="s">
        <v>7</v>
      </c>
      <c r="E299" s="7" t="s">
        <v>321</v>
      </c>
    </row>
    <row r="300" spans="1:5" x14ac:dyDescent="0.25">
      <c r="A300" s="3">
        <v>299</v>
      </c>
      <c r="B300" s="3" t="str">
        <f>HYPERLINK("https://www.kmpharma.in/product/38268","Deschloro Venetoclax Nitroso Impurity")</f>
        <v>Deschloro Venetoclax Nitroso Impurity</v>
      </c>
      <c r="C300" s="3" t="str">
        <f>HYPERLINK("https://www.kmpharma.in/product/38268","KMV027002")</f>
        <v>KMV027002</v>
      </c>
      <c r="D300" s="3" t="s">
        <v>7</v>
      </c>
      <c r="E300" s="5" t="s">
        <v>321</v>
      </c>
    </row>
    <row r="301" spans="1:5" x14ac:dyDescent="0.25">
      <c r="A301" s="6">
        <v>300</v>
      </c>
      <c r="B301" s="6" t="str">
        <f>HYPERLINK("https://www.kmpharma.in/product/33562","Desmethyl Tigecycline nitroso Impurity 1")</f>
        <v>Desmethyl Tigecycline nitroso Impurity 1</v>
      </c>
      <c r="C301" s="6" t="str">
        <f>HYPERLINK("https://www.kmpharma.in/product/33562","KMT115002")</f>
        <v>KMT115002</v>
      </c>
      <c r="D301" s="6" t="s">
        <v>7</v>
      </c>
      <c r="E301" s="7" t="s">
        <v>321</v>
      </c>
    </row>
    <row r="302" spans="1:5" x14ac:dyDescent="0.25">
      <c r="A302" s="3">
        <v>301</v>
      </c>
      <c r="B302" s="3" t="str">
        <f>HYPERLINK("https://www.kmpharma.in/product/33563","Desmethyl Tigecycline nitroso Impurity 2")</f>
        <v>Desmethyl Tigecycline nitroso Impurity 2</v>
      </c>
      <c r="C302" s="3" t="str">
        <f>HYPERLINK("https://www.kmpharma.in/product/33563","KMT115003")</f>
        <v>KMT115003</v>
      </c>
      <c r="D302" s="3" t="s">
        <v>7</v>
      </c>
      <c r="E302" s="5" t="s">
        <v>321</v>
      </c>
    </row>
    <row r="303" spans="1:5" x14ac:dyDescent="0.25">
      <c r="A303" s="6">
        <v>302</v>
      </c>
      <c r="B303" s="6" t="str">
        <f>HYPERLINK("https://www.kmpharma.in/product/9626","Detomidine Nitroso Impurity")</f>
        <v>Detomidine Nitroso Impurity</v>
      </c>
      <c r="C303" s="6" t="str">
        <f>HYPERLINK("https://www.kmpharma.in/product/9626","KMD072005")</f>
        <v>KMD072005</v>
      </c>
      <c r="D303" s="6" t="s">
        <v>7</v>
      </c>
      <c r="E303" s="7" t="s">
        <v>323</v>
      </c>
    </row>
    <row r="304" spans="1:5" x14ac:dyDescent="0.25">
      <c r="A304" s="3">
        <v>303</v>
      </c>
      <c r="B304" s="3" t="str">
        <f>HYPERLINK("https://www.kmpharma.in/product/35952","Dexlansoprazole Nitroso Impurity")</f>
        <v>Dexlansoprazole Nitroso Impurity</v>
      </c>
      <c r="C304" s="3" t="str">
        <f>HYPERLINK("https://www.kmpharma.in/product/35952","KMD078017")</f>
        <v>KMD078017</v>
      </c>
      <c r="D304" s="3" t="s">
        <v>7</v>
      </c>
      <c r="E304" s="5" t="s">
        <v>323</v>
      </c>
    </row>
    <row r="305" spans="1:5" x14ac:dyDescent="0.25">
      <c r="A305" s="6">
        <v>304</v>
      </c>
      <c r="B305" s="6" t="str">
        <f>HYPERLINK("https://www.kmpharma.in/product/19991","Dexmedetomidine Nitroso Impurity")</f>
        <v>Dexmedetomidine Nitroso Impurity</v>
      </c>
      <c r="C305" s="6" t="str">
        <f>HYPERLINK("https://www.kmpharma.in/product/19991","KMM051013")</f>
        <v>KMM051013</v>
      </c>
      <c r="D305" s="6" t="s">
        <v>7</v>
      </c>
      <c r="E305" s="7" t="s">
        <v>323</v>
      </c>
    </row>
    <row r="306" spans="1:5" x14ac:dyDescent="0.25">
      <c r="A306" s="3">
        <v>305</v>
      </c>
      <c r="B306" s="3" t="str">
        <f>HYPERLINK("https://www.kmpharma.in/product/15733","Di-Nitroso 5-Chloro Hydrochlorothiazide")</f>
        <v>Di-Nitroso 5-Chloro Hydrochlorothiazide</v>
      </c>
      <c r="C306" s="3" t="str">
        <f>HYPERLINK("https://www.kmpharma.in/product/15733","KMH003006")</f>
        <v>KMH003006</v>
      </c>
      <c r="D306" s="3" t="s">
        <v>7</v>
      </c>
      <c r="E306" s="3" t="s">
        <v>16</v>
      </c>
    </row>
    <row r="307" spans="1:5" x14ac:dyDescent="0.25">
      <c r="A307" s="6">
        <v>306</v>
      </c>
      <c r="B307" s="6" t="str">
        <f>HYPERLINK("https://www.kmpharma.in/product/12545","Di-Nitroso Ethambutol EP Impurity C")</f>
        <v>Di-Nitroso Ethambutol EP Impurity C</v>
      </c>
      <c r="C307" s="6" t="str">
        <f>HYPERLINK("https://www.kmpharma.in/product/12545","KME021004")</f>
        <v>KME021004</v>
      </c>
      <c r="D307" s="6" t="s">
        <v>52</v>
      </c>
      <c r="E307" s="7" t="s">
        <v>321</v>
      </c>
    </row>
    <row r="308" spans="1:5" x14ac:dyDescent="0.25">
      <c r="A308" s="3">
        <v>307</v>
      </c>
      <c r="B308" s="3" t="str">
        <f>HYPERLINK("https://www.kmpharma.in/product/8128","Di-Nitroso-Clonidine")</f>
        <v>Di-Nitroso-Clonidine</v>
      </c>
      <c r="C308" s="3" t="str">
        <f>HYPERLINK("https://www.kmpharma.in/product/8128","KMC003025")</f>
        <v>KMC003025</v>
      </c>
      <c r="D308" s="3" t="s">
        <v>53</v>
      </c>
      <c r="E308" s="5" t="s">
        <v>323</v>
      </c>
    </row>
    <row r="309" spans="1:5" x14ac:dyDescent="0.25">
      <c r="A309" s="6">
        <v>308</v>
      </c>
      <c r="B309" s="6" t="str">
        <f>HYPERLINK("https://www.kmpharma.in/product/9926","Diclofenac Desacetate Nitroso Impurity")</f>
        <v>Diclofenac Desacetate Nitroso Impurity</v>
      </c>
      <c r="C309" s="6" t="str">
        <f>HYPERLINK("https://www.kmpharma.in/product/9926","KMD009013")</f>
        <v>KMD009013</v>
      </c>
      <c r="D309" s="6" t="s">
        <v>7</v>
      </c>
      <c r="E309" s="7" t="s">
        <v>321</v>
      </c>
    </row>
    <row r="310" spans="1:5" x14ac:dyDescent="0.25">
      <c r="A310" s="3">
        <v>309</v>
      </c>
      <c r="B310" s="3" t="str">
        <f>HYPERLINK("https://www.kmpharma.in/product/22930","Diethylamine Dinitroso Impurity")</f>
        <v>Diethylamine Dinitroso Impurity</v>
      </c>
      <c r="C310" s="3" t="str">
        <f>HYPERLINK("https://www.kmpharma.in/product/22930","KMN084029")</f>
        <v>KMN084029</v>
      </c>
      <c r="D310" s="3" t="s">
        <v>54</v>
      </c>
      <c r="E310" s="5" t="s">
        <v>321</v>
      </c>
    </row>
    <row r="311" spans="1:5" x14ac:dyDescent="0.25">
      <c r="A311" s="6">
        <v>310</v>
      </c>
      <c r="B311" s="6" t="str">
        <f>HYPERLINK("https://www.kmpharma.in/product/5478","Dinitroso Caffeidine")</f>
        <v>Dinitroso Caffeidine</v>
      </c>
      <c r="C311" s="6" t="str">
        <f>HYPERLINK("https://www.kmpharma.in/product/5478","KMC041018")</f>
        <v>KMC041018</v>
      </c>
      <c r="D311" s="6" t="s">
        <v>55</v>
      </c>
      <c r="E311" s="7" t="s">
        <v>321</v>
      </c>
    </row>
    <row r="312" spans="1:5" x14ac:dyDescent="0.25">
      <c r="A312" s="3">
        <v>311</v>
      </c>
      <c r="B312" s="3" t="str">
        <f>HYPERLINK("https://www.kmpharma.in/product/12544","Dinitroso Ethambutol")</f>
        <v>Dinitroso Ethambutol</v>
      </c>
      <c r="C312" s="3" t="str">
        <f>HYPERLINK("https://www.kmpharma.in/product/12544","KME021005")</f>
        <v>KME021005</v>
      </c>
      <c r="D312" s="3" t="s">
        <v>56</v>
      </c>
      <c r="E312" s="5" t="s">
        <v>321</v>
      </c>
    </row>
    <row r="313" spans="1:5" x14ac:dyDescent="0.25">
      <c r="A313" s="6">
        <v>312</v>
      </c>
      <c r="B313" s="6" t="str">
        <f>HYPERLINK("https://www.kmpharma.in/product/12539","Dinitroso Ethambutol D4")</f>
        <v>Dinitroso Ethambutol D4</v>
      </c>
      <c r="C313" s="6" t="str">
        <f>HYPERLINK("https://www.kmpharma.in/product/12539","KME021006")</f>
        <v>KME021006</v>
      </c>
      <c r="D313" s="6" t="s">
        <v>7</v>
      </c>
      <c r="E313" s="7" t="s">
        <v>321</v>
      </c>
    </row>
    <row r="314" spans="1:5" x14ac:dyDescent="0.25">
      <c r="A314" s="3">
        <v>313</v>
      </c>
      <c r="B314" s="3" t="str">
        <f>HYPERLINK("https://www.kmpharma.in/product/15636","Dinitroso Hexetidine EP Impurity B")</f>
        <v>Dinitroso Hexetidine EP Impurity B</v>
      </c>
      <c r="C314" s="3" t="str">
        <f>HYPERLINK("https://www.kmpharma.in/product/15636","KMH023001")</f>
        <v>KMH023001</v>
      </c>
      <c r="D314" s="3" t="s">
        <v>7</v>
      </c>
      <c r="E314" s="5" t="s">
        <v>323</v>
      </c>
    </row>
    <row r="315" spans="1:5" x14ac:dyDescent="0.25">
      <c r="A315" s="6">
        <v>314</v>
      </c>
      <c r="B315" s="6" t="str">
        <f>HYPERLINK("https://www.kmpharma.in/product/36721","Dinitroso L-5 methyltetrahydrofolate calcium")</f>
        <v>Dinitroso L-5 methyltetrahydrofolate calcium</v>
      </c>
      <c r="C315" s="6" t="str">
        <f>HYPERLINK("https://www.kmpharma.in/product/36721","KML069002")</f>
        <v>KML069002</v>
      </c>
      <c r="D315" s="6" t="s">
        <v>7</v>
      </c>
      <c r="E315" s="7" t="s">
        <v>321</v>
      </c>
    </row>
    <row r="316" spans="1:5" x14ac:dyDescent="0.25">
      <c r="A316" s="3">
        <v>315</v>
      </c>
      <c r="B316" s="3" t="str">
        <f>HYPERLINK("https://www.kmpharma.in/product/189","Dinitroso Piperazine")</f>
        <v>Dinitroso Piperazine</v>
      </c>
      <c r="C316" s="3" t="str">
        <f>HYPERLINK("https://www.kmpharma.in/product/189","KMN001007")</f>
        <v>KMN001007</v>
      </c>
      <c r="D316" s="3" t="s">
        <v>26</v>
      </c>
      <c r="E316" s="3" t="s">
        <v>16</v>
      </c>
    </row>
    <row r="317" spans="1:5" x14ac:dyDescent="0.25">
      <c r="A317" s="6">
        <v>316</v>
      </c>
      <c r="B317" s="6" t="str">
        <f>HYPERLINK("https://www.kmpharma.in/product/28603","Dinitroso Rilpivirine")</f>
        <v>Dinitroso Rilpivirine</v>
      </c>
      <c r="C317" s="6" t="str">
        <f>HYPERLINK("https://www.kmpharma.in/product/28603","KMR059002")</f>
        <v>KMR059002</v>
      </c>
      <c r="D317" s="6" t="s">
        <v>7</v>
      </c>
      <c r="E317" s="7" t="s">
        <v>323</v>
      </c>
    </row>
    <row r="318" spans="1:5" x14ac:dyDescent="0.25">
      <c r="A318" s="3">
        <v>317</v>
      </c>
      <c r="B318" s="3" t="str">
        <f>HYPERLINK("https://www.kmpharma.in/product/23062","Dinitroso α,α'-Hydrazodiisobutyronitrile")</f>
        <v>Dinitroso α,α'-Hydrazodiisobutyronitrile</v>
      </c>
      <c r="C318" s="3" t="str">
        <f>HYPERLINK("https://www.kmpharma.in/product/23062","KMN084030")</f>
        <v>KMN084030</v>
      </c>
      <c r="D318" s="3" t="s">
        <v>7</v>
      </c>
      <c r="E318" s="5" t="s">
        <v>323</v>
      </c>
    </row>
    <row r="319" spans="1:5" x14ac:dyDescent="0.25">
      <c r="A319" s="6">
        <v>318</v>
      </c>
      <c r="B319" s="6" t="str">
        <f>HYPERLINK("https://www.kmpharma.in/product/6312","DiNitroso-Carvedilol")</f>
        <v>DiNitroso-Carvedilol</v>
      </c>
      <c r="C319" s="6" t="str">
        <f>HYPERLINK("https://www.kmpharma.in/product/6312","KMC005045")</f>
        <v>KMC005045</v>
      </c>
      <c r="D319" s="6" t="s">
        <v>7</v>
      </c>
      <c r="E319" s="7" t="s">
        <v>322</v>
      </c>
    </row>
    <row r="320" spans="1:5" x14ac:dyDescent="0.25">
      <c r="A320" s="3">
        <v>319</v>
      </c>
      <c r="B320" s="3" t="str">
        <f>HYPERLINK("https://www.kmpharma.in/product/36517","Dinitroso-Methyl Piperazine Gatifloxacin")</f>
        <v>Dinitroso-Methyl Piperazine Gatifloxacin</v>
      </c>
      <c r="C320" s="3" t="str">
        <f>HYPERLINK("https://www.kmpharma.in/product/36517","KMG001010")</f>
        <v>KMG001010</v>
      </c>
      <c r="D320" s="3" t="s">
        <v>57</v>
      </c>
      <c r="E320" s="5" t="s">
        <v>322</v>
      </c>
    </row>
    <row r="321" spans="1:5" x14ac:dyDescent="0.25">
      <c r="A321" s="6">
        <v>320</v>
      </c>
      <c r="B321" s="6" t="str">
        <f>HYPERLINK("https://www.kmpharma.in/product/22931","Dioctylnitrosoamine")</f>
        <v>Dioctylnitrosoamine</v>
      </c>
      <c r="C321" s="6" t="str">
        <f>HYPERLINK("https://www.kmpharma.in/product/22931","KMN084031")</f>
        <v>KMN084031</v>
      </c>
      <c r="D321" s="6" t="s">
        <v>58</v>
      </c>
      <c r="E321" s="7" t="s">
        <v>321</v>
      </c>
    </row>
    <row r="322" spans="1:5" x14ac:dyDescent="0.25">
      <c r="A322" s="3">
        <v>321</v>
      </c>
      <c r="B322" s="3" t="str">
        <f>HYPERLINK("https://www.kmpharma.in/product/10251","Diphenhydramine Nitroso Impurity 1")</f>
        <v>Diphenhydramine Nitroso Impurity 1</v>
      </c>
      <c r="C322" s="3" t="str">
        <f>HYPERLINK("https://www.kmpharma.in/product/10251","KMD025017")</f>
        <v>KMD025017</v>
      </c>
      <c r="D322" s="3" t="s">
        <v>7</v>
      </c>
      <c r="E322" s="5" t="s">
        <v>321</v>
      </c>
    </row>
    <row r="323" spans="1:5" x14ac:dyDescent="0.25">
      <c r="A323" s="6">
        <v>322</v>
      </c>
      <c r="B323" s="6" t="str">
        <f>HYPERLINK("https://www.kmpharma.in/product/10440","Dolasetron Nitroso Impurity")</f>
        <v>Dolasetron Nitroso Impurity</v>
      </c>
      <c r="C323" s="6" t="str">
        <f>HYPERLINK("https://www.kmpharma.in/product/10440","KMD151006")</f>
        <v>KMD151006</v>
      </c>
      <c r="D323" s="6" t="s">
        <v>7</v>
      </c>
      <c r="E323" s="7" t="s">
        <v>321</v>
      </c>
    </row>
    <row r="324" spans="1:5" x14ac:dyDescent="0.25">
      <c r="A324" s="3">
        <v>323</v>
      </c>
      <c r="B324" s="3" t="str">
        <f>HYPERLINK("https://www.kmpharma.in/product/10495","Dolutegravir Nitroso Impurity 1")</f>
        <v>Dolutegravir Nitroso Impurity 1</v>
      </c>
      <c r="C324" s="3" t="str">
        <f>HYPERLINK("https://www.kmpharma.in/product/10495","KMD152046")</f>
        <v>KMD152046</v>
      </c>
      <c r="D324" s="3" t="s">
        <v>7</v>
      </c>
      <c r="E324" s="5" t="s">
        <v>323</v>
      </c>
    </row>
    <row r="325" spans="1:5" x14ac:dyDescent="0.25">
      <c r="A325" s="6">
        <v>324</v>
      </c>
      <c r="B325" s="6" t="str">
        <f>HYPERLINK("https://www.kmpharma.in/product/10587","Donepezil 2-Ethylbutyl Nitroso Impurity")</f>
        <v>Donepezil 2-Ethylbutyl Nitroso Impurity</v>
      </c>
      <c r="C325" s="6" t="str">
        <f>HYPERLINK("https://www.kmpharma.in/product/10587","KMD155009")</f>
        <v>KMD155009</v>
      </c>
      <c r="D325" s="6" t="s">
        <v>7</v>
      </c>
      <c r="E325" s="6" t="s">
        <v>16</v>
      </c>
    </row>
    <row r="326" spans="1:5" x14ac:dyDescent="0.25">
      <c r="A326" s="3">
        <v>325</v>
      </c>
      <c r="B326" s="3" t="str">
        <f>HYPERLINK("https://www.kmpharma.in/product/10795","Dronedarone Nitroso Impurity 1")</f>
        <v>Dronedarone Nitroso Impurity 1</v>
      </c>
      <c r="C326" s="3" t="str">
        <f>HYPERLINK("https://www.kmpharma.in/product/10795","KMD165024")</f>
        <v>KMD165024</v>
      </c>
      <c r="D326" s="3" t="s">
        <v>7</v>
      </c>
      <c r="E326" s="5" t="s">
        <v>321</v>
      </c>
    </row>
    <row r="327" spans="1:5" x14ac:dyDescent="0.25">
      <c r="A327" s="6">
        <v>326</v>
      </c>
      <c r="B327" s="6" t="str">
        <f>HYPERLINK("https://www.kmpharma.in/product/10891","Droxidopa Nitroso Impurity 1")</f>
        <v>Droxidopa Nitroso Impurity 1</v>
      </c>
      <c r="C327" s="6" t="str">
        <f>HYPERLINK("https://www.kmpharma.in/product/10891","KMD171032")</f>
        <v>KMD171032</v>
      </c>
      <c r="D327" s="6" t="s">
        <v>7</v>
      </c>
      <c r="E327" s="7" t="s">
        <v>321</v>
      </c>
    </row>
    <row r="328" spans="1:5" x14ac:dyDescent="0.25">
      <c r="A328" s="3">
        <v>327</v>
      </c>
      <c r="B328" s="3" t="str">
        <f>HYPERLINK("https://www.kmpharma.in/product/10892","Droxidopa Nitroso Impurity 2")</f>
        <v>Droxidopa Nitroso Impurity 2</v>
      </c>
      <c r="C328" s="3" t="str">
        <f>HYPERLINK("https://www.kmpharma.in/product/10892","KMD171033")</f>
        <v>KMD171033</v>
      </c>
      <c r="D328" s="3" t="s">
        <v>7</v>
      </c>
      <c r="E328" s="3" t="s">
        <v>16</v>
      </c>
    </row>
    <row r="329" spans="1:5" x14ac:dyDescent="0.25">
      <c r="A329" s="6">
        <v>328</v>
      </c>
      <c r="B329" s="6" t="str">
        <f>HYPERLINK("https://www.kmpharma.in/product/10949","Duloxetine Nitroso Impurity 1")</f>
        <v>Duloxetine Nitroso Impurity 1</v>
      </c>
      <c r="C329" s="6" t="str">
        <f>HYPERLINK("https://www.kmpharma.in/product/10949","KMD014044")</f>
        <v>KMD014044</v>
      </c>
      <c r="D329" s="6" t="s">
        <v>59</v>
      </c>
      <c r="E329" s="6" t="s">
        <v>16</v>
      </c>
    </row>
    <row r="330" spans="1:5" x14ac:dyDescent="0.25">
      <c r="A330" s="3">
        <v>329</v>
      </c>
      <c r="B330" s="3" t="str">
        <f>HYPERLINK("https://www.kmpharma.in/product/10950","Duloxetine Nitroso Impurity 2")</f>
        <v>Duloxetine Nitroso Impurity 2</v>
      </c>
      <c r="C330" s="3" t="str">
        <f>HYPERLINK("https://www.kmpharma.in/product/10950","KMD014045")</f>
        <v>KMD014045</v>
      </c>
      <c r="D330" s="3" t="s">
        <v>60</v>
      </c>
      <c r="E330" s="5" t="s">
        <v>326</v>
      </c>
    </row>
    <row r="331" spans="1:5" x14ac:dyDescent="0.25">
      <c r="A331" s="6">
        <v>330</v>
      </c>
      <c r="B331" s="6" t="str">
        <f>HYPERLINK("https://www.kmpharma.in/product/10951","Duloxetine Nitroso Impurity 3")</f>
        <v>Duloxetine Nitroso Impurity 3</v>
      </c>
      <c r="C331" s="6" t="str">
        <f>HYPERLINK("https://www.kmpharma.in/product/10951","KMD014046")</f>
        <v>KMD014046</v>
      </c>
      <c r="D331" s="6" t="s">
        <v>7</v>
      </c>
      <c r="E331" s="6" t="s">
        <v>16</v>
      </c>
    </row>
    <row r="332" spans="1:5" x14ac:dyDescent="0.25">
      <c r="A332" s="3">
        <v>331</v>
      </c>
      <c r="B332" s="3" t="str">
        <f>HYPERLINK("https://www.kmpharma.in/product/10952","Duloxetine Nitroso Impurity 4")</f>
        <v>Duloxetine Nitroso Impurity 4</v>
      </c>
      <c r="C332" s="3" t="str">
        <f>HYPERLINK("https://www.kmpharma.in/product/10952","KMD014047")</f>
        <v>KMD014047</v>
      </c>
      <c r="D332" s="3" t="s">
        <v>7</v>
      </c>
      <c r="E332" s="5" t="s">
        <v>321</v>
      </c>
    </row>
    <row r="333" spans="1:5" x14ac:dyDescent="0.25">
      <c r="A333" s="6">
        <v>332</v>
      </c>
      <c r="B333" s="6" t="str">
        <f>HYPERLINK("https://www.kmpharma.in/product/36202","Edoxaban Bromo Desmethyl N-nitroso Impurity")</f>
        <v>Edoxaban Bromo Desmethyl N-nitroso Impurity</v>
      </c>
      <c r="C333" s="6" t="str">
        <f>HYPERLINK("https://www.kmpharma.in/product/36202","KME028017")</f>
        <v>KME028017</v>
      </c>
      <c r="D333" s="6" t="s">
        <v>7</v>
      </c>
      <c r="E333" s="6" t="s">
        <v>16</v>
      </c>
    </row>
    <row r="334" spans="1:5" x14ac:dyDescent="0.25">
      <c r="A334" s="3">
        <v>333</v>
      </c>
      <c r="B334" s="3" t="str">
        <f>HYPERLINK("https://www.kmpharma.in/product/36207","Edoxaben Cyclohexyl Methyl Ester Desmethylamine N-Nitroso impurity")</f>
        <v>Edoxaben Cyclohexyl Methyl Ester Desmethylamine N-Nitroso impurity</v>
      </c>
      <c r="C334" s="3" t="str">
        <f>HYPERLINK("https://www.kmpharma.in/product/36207","KME028151")</f>
        <v>KME028151</v>
      </c>
      <c r="D334" s="3" t="s">
        <v>7</v>
      </c>
      <c r="E334" s="3" t="s">
        <v>16</v>
      </c>
    </row>
    <row r="335" spans="1:5" x14ac:dyDescent="0.25">
      <c r="A335" s="6">
        <v>334</v>
      </c>
      <c r="B335" s="6" t="str">
        <f>HYPERLINK("https://www.kmpharma.in/product/36208","Edoxaben Diastereomer (1R,2R,4S) isomerDesmethyl N-Nitroso impurity")</f>
        <v>Edoxaben Diastereomer (1R,2R,4S) isomerDesmethyl N-Nitroso impurity</v>
      </c>
      <c r="C335" s="6" t="str">
        <f>HYPERLINK("https://www.kmpharma.in/product/36208","KME028152")</f>
        <v>KME028152</v>
      </c>
      <c r="D335" s="6" t="s">
        <v>7</v>
      </c>
      <c r="E335" s="6" t="s">
        <v>16</v>
      </c>
    </row>
    <row r="336" spans="1:5" x14ac:dyDescent="0.25">
      <c r="A336" s="3">
        <v>335</v>
      </c>
      <c r="B336" s="3" t="str">
        <f>HYPERLINK("https://www.kmpharma.in/product/36209","Edoxaben Diastereomer (1S,2S,4R) Isomer Desmethyl N-Nitroso Impurity")</f>
        <v>Edoxaben Diastereomer (1S,2S,4R) Isomer Desmethyl N-Nitroso Impurity</v>
      </c>
      <c r="C336" s="3" t="str">
        <f>HYPERLINK("https://www.kmpharma.in/product/36209","KME028153")</f>
        <v>KME028153</v>
      </c>
      <c r="D336" s="3" t="s">
        <v>7</v>
      </c>
      <c r="E336" s="3" t="s">
        <v>16</v>
      </c>
    </row>
    <row r="337" spans="1:5" x14ac:dyDescent="0.25">
      <c r="A337" s="6">
        <v>336</v>
      </c>
      <c r="B337" s="6" t="str">
        <f>HYPERLINK("https://www.kmpharma.in/product/36210","Edoxaben Enantiomer (1R,2S,4R) Isomer Desmethyl N-Nitroso impurity")</f>
        <v>Edoxaben Enantiomer (1R,2S,4R) Isomer Desmethyl N-Nitroso impurity</v>
      </c>
      <c r="C337" s="6" t="str">
        <f>HYPERLINK("https://www.kmpharma.in/product/36210","KME028154")</f>
        <v>KME028154</v>
      </c>
      <c r="D337" s="6" t="s">
        <v>7</v>
      </c>
      <c r="E337" s="6" t="s">
        <v>16</v>
      </c>
    </row>
    <row r="338" spans="1:5" x14ac:dyDescent="0.25">
      <c r="A338" s="3">
        <v>337</v>
      </c>
      <c r="B338" s="3" t="str">
        <f>HYPERLINK("https://www.kmpharma.in/product/11293","Elagolix Ethyl Ester Nitroso Impurity")</f>
        <v>Elagolix Ethyl Ester Nitroso Impurity</v>
      </c>
      <c r="C338" s="3" t="str">
        <f>HYPERLINK("https://www.kmpharma.in/product/11293","KME035017")</f>
        <v>KME035017</v>
      </c>
      <c r="D338" s="3" t="s">
        <v>7</v>
      </c>
      <c r="E338" s="3" t="s">
        <v>16</v>
      </c>
    </row>
    <row r="339" spans="1:5" x14ac:dyDescent="0.25">
      <c r="A339" s="6">
        <v>338</v>
      </c>
      <c r="B339" s="6" t="str">
        <f>HYPERLINK("https://www.kmpharma.in/product/11297","Elagolix N-Nitroso S-Isomer")</f>
        <v>Elagolix N-Nitroso S-Isomer</v>
      </c>
      <c r="C339" s="6" t="str">
        <f>HYPERLINK("https://www.kmpharma.in/product/11297","KME035056")</f>
        <v>KME035056</v>
      </c>
      <c r="D339" s="6" t="s">
        <v>7</v>
      </c>
      <c r="E339" s="7" t="s">
        <v>321</v>
      </c>
    </row>
    <row r="340" spans="1:5" x14ac:dyDescent="0.25">
      <c r="A340" s="3">
        <v>339</v>
      </c>
      <c r="B340" s="3" t="str">
        <f>HYPERLINK("https://www.kmpharma.in/product/11294","Elagolix Nitroso Impurity")</f>
        <v>Elagolix Nitroso Impurity</v>
      </c>
      <c r="C340" s="3" t="str">
        <f>HYPERLINK("https://www.kmpharma.in/product/11294","KME035059")</f>
        <v>KME035059</v>
      </c>
      <c r="D340" s="3" t="s">
        <v>7</v>
      </c>
      <c r="E340" s="5" t="s">
        <v>321</v>
      </c>
    </row>
    <row r="341" spans="1:5" x14ac:dyDescent="0.25">
      <c r="A341" s="6">
        <v>340</v>
      </c>
      <c r="B341" s="6" t="str">
        <f>HYPERLINK("https://www.kmpharma.in/product/36258","Eletriptan Nitroso Impurity")</f>
        <v>Eletriptan Nitroso Impurity</v>
      </c>
      <c r="C341" s="6" t="str">
        <f>HYPERLINK("https://www.kmpharma.in/product/36258","KME039033")</f>
        <v>KME039033</v>
      </c>
      <c r="D341" s="6" t="s">
        <v>7</v>
      </c>
      <c r="E341" s="7" t="s">
        <v>321</v>
      </c>
    </row>
    <row r="342" spans="1:5" x14ac:dyDescent="0.25">
      <c r="A342" s="3">
        <v>341</v>
      </c>
      <c r="B342" s="3" t="str">
        <f>HYPERLINK("https://www.kmpharma.in/product/11332","Eliglustat Nitroso Impurity 1")</f>
        <v>Eliglustat Nitroso Impurity 1</v>
      </c>
      <c r="C342" s="3" t="str">
        <f>HYPERLINK("https://www.kmpharma.in/product/11332","KME041020")</f>
        <v>KME041020</v>
      </c>
      <c r="D342" s="3" t="s">
        <v>7</v>
      </c>
      <c r="E342" s="5" t="s">
        <v>323</v>
      </c>
    </row>
    <row r="343" spans="1:5" x14ac:dyDescent="0.25">
      <c r="A343" s="6">
        <v>342</v>
      </c>
      <c r="B343" s="6" t="str">
        <f>HYPERLINK("https://www.kmpharma.in/product/11339","Elmustine Nitroso Impurity 1")</f>
        <v>Elmustine Nitroso Impurity 1</v>
      </c>
      <c r="C343" s="6" t="str">
        <f>HYPERLINK("https://www.kmpharma.in/product/11339","KME042007")</f>
        <v>KME042007</v>
      </c>
      <c r="D343" s="6" t="s">
        <v>61</v>
      </c>
      <c r="E343" s="6" t="s">
        <v>16</v>
      </c>
    </row>
    <row r="344" spans="1:5" x14ac:dyDescent="0.25">
      <c r="A344" s="3">
        <v>343</v>
      </c>
      <c r="B344" s="3" t="str">
        <f>HYPERLINK("https://www.kmpharma.in/product/11448","Eluxadoline Diastereomer Nitroso Impurity")</f>
        <v>Eluxadoline Diastereomer Nitroso Impurity</v>
      </c>
      <c r="C344" s="3" t="str">
        <f>HYPERLINK("https://www.kmpharma.in/product/11448","KME045006")</f>
        <v>KME045006</v>
      </c>
      <c r="D344" s="3" t="s">
        <v>7</v>
      </c>
      <c r="E344" s="3" t="s">
        <v>16</v>
      </c>
    </row>
    <row r="345" spans="1:5" x14ac:dyDescent="0.25">
      <c r="A345" s="6">
        <v>344</v>
      </c>
      <c r="B345" s="6" t="str">
        <f>HYPERLINK("https://www.kmpharma.in/product/11449","Eluxadoline Nitroso Impurity 1")</f>
        <v>Eluxadoline Nitroso Impurity 1</v>
      </c>
      <c r="C345" s="6" t="str">
        <f>HYPERLINK("https://www.kmpharma.in/product/11449","KME045016")</f>
        <v>KME045016</v>
      </c>
      <c r="D345" s="6" t="s">
        <v>7</v>
      </c>
      <c r="E345" s="6" t="s">
        <v>16</v>
      </c>
    </row>
    <row r="346" spans="1:5" x14ac:dyDescent="0.25">
      <c r="A346" s="3">
        <v>345</v>
      </c>
      <c r="B346" s="3" t="str">
        <f>HYPERLINK("https://www.kmpharma.in/product/11450","Eluxadoline Nitroso Impurity 2")</f>
        <v>Eluxadoline Nitroso Impurity 2</v>
      </c>
      <c r="C346" s="3" t="str">
        <f>HYPERLINK("https://www.kmpharma.in/product/11450","KME045017")</f>
        <v>KME045017</v>
      </c>
      <c r="D346" s="3" t="s">
        <v>7</v>
      </c>
      <c r="E346" s="3" t="s">
        <v>16</v>
      </c>
    </row>
    <row r="347" spans="1:5" x14ac:dyDescent="0.25">
      <c r="A347" s="6">
        <v>346</v>
      </c>
      <c r="B347" s="6" t="str">
        <f>HYPERLINK("https://www.kmpharma.in/product/11451","Eluxadoline Nitroso Impurity 3")</f>
        <v>Eluxadoline Nitroso Impurity 3</v>
      </c>
      <c r="C347" s="6" t="str">
        <f>HYPERLINK("https://www.kmpharma.in/product/11451","KME045018")</f>
        <v>KME045018</v>
      </c>
      <c r="D347" s="6" t="s">
        <v>7</v>
      </c>
      <c r="E347" s="7" t="s">
        <v>321</v>
      </c>
    </row>
    <row r="348" spans="1:5" x14ac:dyDescent="0.25">
      <c r="A348" s="3">
        <v>347</v>
      </c>
      <c r="B348" s="3" t="str">
        <f>HYPERLINK("https://www.kmpharma.in/product/11616","Enalapril Nitroso Impurity 1")</f>
        <v>Enalapril Nitroso Impurity 1</v>
      </c>
      <c r="C348" s="3" t="str">
        <f>HYPERLINK("https://www.kmpharma.in/product/11616","KME009028")</f>
        <v>KME009028</v>
      </c>
      <c r="D348" s="3" t="s">
        <v>7</v>
      </c>
      <c r="E348" s="5" t="s">
        <v>323</v>
      </c>
    </row>
    <row r="349" spans="1:5" x14ac:dyDescent="0.25">
      <c r="A349" s="6">
        <v>348</v>
      </c>
      <c r="B349" s="6" t="str">
        <f>HYPERLINK("https://www.kmpharma.in/product/11628","Enalaprilat Nitroso Impurity")</f>
        <v>Enalaprilat Nitroso Impurity</v>
      </c>
      <c r="C349" s="6" t="str">
        <f>HYPERLINK("https://www.kmpharma.in/product/11628","KME050012")</f>
        <v>KME050012</v>
      </c>
      <c r="D349" s="6" t="s">
        <v>7</v>
      </c>
      <c r="E349" s="7" t="s">
        <v>323</v>
      </c>
    </row>
    <row r="350" spans="1:5" x14ac:dyDescent="0.25">
      <c r="A350" s="3">
        <v>349</v>
      </c>
      <c r="B350" s="3" t="str">
        <f>HYPERLINK("https://www.kmpharma.in/product/11632","Enasidenib Nitroso Impurity 1")</f>
        <v>Enasidenib Nitroso Impurity 1</v>
      </c>
      <c r="C350" s="3" t="str">
        <f>HYPERLINK("https://www.kmpharma.in/product/11632","KME051003")</f>
        <v>KME051003</v>
      </c>
      <c r="D350" s="3" t="s">
        <v>7</v>
      </c>
      <c r="E350" s="5" t="s">
        <v>322</v>
      </c>
    </row>
    <row r="351" spans="1:5" x14ac:dyDescent="0.25">
      <c r="A351" s="6">
        <v>350</v>
      </c>
      <c r="B351" s="6" t="str">
        <f>HYPERLINK("https://www.kmpharma.in/product/11633","Enasidenib Nitroso Impurity 2")</f>
        <v>Enasidenib Nitroso Impurity 2</v>
      </c>
      <c r="C351" s="6" t="str">
        <f>HYPERLINK("https://www.kmpharma.in/product/11633","KME051004")</f>
        <v>KME051004</v>
      </c>
      <c r="D351" s="6" t="s">
        <v>7</v>
      </c>
      <c r="E351" s="6" t="s">
        <v>16</v>
      </c>
    </row>
    <row r="352" spans="1:5" x14ac:dyDescent="0.25">
      <c r="A352" s="3">
        <v>351</v>
      </c>
      <c r="B352" s="3" t="str">
        <f>HYPERLINK("https://www.kmpharma.in/product/11631","Enasidenib Nitroso Impurity 3")</f>
        <v>Enasidenib Nitroso Impurity 3</v>
      </c>
      <c r="C352" s="3" t="str">
        <f>HYPERLINK("https://www.kmpharma.in/product/11631","KME051005")</f>
        <v>KME051005</v>
      </c>
      <c r="D352" s="3" t="s">
        <v>7</v>
      </c>
      <c r="E352" s="3" t="s">
        <v>16</v>
      </c>
    </row>
    <row r="353" spans="1:5" x14ac:dyDescent="0.25">
      <c r="A353" s="6">
        <v>352</v>
      </c>
      <c r="B353" s="6" t="str">
        <f>HYPERLINK("https://www.kmpharma.in/product/11645","Encorafenib Nitroso Impurity")</f>
        <v>Encorafenib Nitroso Impurity</v>
      </c>
      <c r="C353" s="6" t="str">
        <f>HYPERLINK("https://www.kmpharma.in/product/11645","KME052011")</f>
        <v>KME052011</v>
      </c>
      <c r="D353" s="6" t="s">
        <v>7</v>
      </c>
      <c r="E353" s="7" t="s">
        <v>322</v>
      </c>
    </row>
    <row r="354" spans="1:5" x14ac:dyDescent="0.25">
      <c r="A354" s="3">
        <v>353</v>
      </c>
      <c r="B354" s="3" t="str">
        <f>HYPERLINK("https://www.kmpharma.in/product/11813","Enzalutamide Nitroso Impurity 1")</f>
        <v>Enzalutamide Nitroso Impurity 1</v>
      </c>
      <c r="C354" s="3" t="str">
        <f>HYPERLINK("https://www.kmpharma.in/product/11813","KME008084")</f>
        <v>KME008084</v>
      </c>
      <c r="D354" s="3" t="s">
        <v>7</v>
      </c>
      <c r="E354" s="5" t="s">
        <v>322</v>
      </c>
    </row>
    <row r="355" spans="1:5" x14ac:dyDescent="0.25">
      <c r="A355" s="6">
        <v>354</v>
      </c>
      <c r="B355" s="6" t="str">
        <f>HYPERLINK("https://www.kmpharma.in/product/11814","Enzalutamide Nitroso Impurity 2")</f>
        <v>Enzalutamide Nitroso Impurity 2</v>
      </c>
      <c r="C355" s="6" t="str">
        <f>HYPERLINK("https://www.kmpharma.in/product/11814","KME008085")</f>
        <v>KME008085</v>
      </c>
      <c r="D355" s="6" t="s">
        <v>7</v>
      </c>
      <c r="E355" s="7" t="s">
        <v>322</v>
      </c>
    </row>
    <row r="356" spans="1:5" x14ac:dyDescent="0.25">
      <c r="A356" s="3">
        <v>355</v>
      </c>
      <c r="B356" s="3" t="str">
        <f>HYPERLINK("https://www.kmpharma.in/product/11900","Epinephrine Nitroso Impuirty")</f>
        <v>Epinephrine Nitroso Impuirty</v>
      </c>
      <c r="C356" s="3" t="str">
        <f>HYPERLINK("https://www.kmpharma.in/product/11900","KME002029")</f>
        <v>KME002029</v>
      </c>
      <c r="D356" s="3" t="s">
        <v>7</v>
      </c>
      <c r="E356" s="3" t="s">
        <v>16</v>
      </c>
    </row>
    <row r="357" spans="1:5" x14ac:dyDescent="0.25">
      <c r="A357" s="6">
        <v>356</v>
      </c>
      <c r="B357" s="6" t="str">
        <f>HYPERLINK("https://www.kmpharma.in/product/12001","Erdafitinib Nitroso Impurity")</f>
        <v>Erdafitinib Nitroso Impurity</v>
      </c>
      <c r="C357" s="6" t="str">
        <f>HYPERLINK("https://www.kmpharma.in/product/12001","KME077006")</f>
        <v>KME077006</v>
      </c>
      <c r="D357" s="6" t="s">
        <v>7</v>
      </c>
      <c r="E357" s="7" t="s">
        <v>326</v>
      </c>
    </row>
    <row r="358" spans="1:5" x14ac:dyDescent="0.25">
      <c r="A358" s="3">
        <v>357</v>
      </c>
      <c r="B358" s="3" t="str">
        <f>HYPERLINK("https://www.kmpharma.in/product/12124","Erlotinib Nitroso Impurity")</f>
        <v>Erlotinib Nitroso Impurity</v>
      </c>
      <c r="C358" s="3" t="str">
        <f>HYPERLINK("https://www.kmpharma.in/product/12124","KME003078")</f>
        <v>KME003078</v>
      </c>
      <c r="D358" s="3" t="s">
        <v>7</v>
      </c>
      <c r="E358" s="5" t="s">
        <v>325</v>
      </c>
    </row>
    <row r="359" spans="1:5" x14ac:dyDescent="0.25">
      <c r="A359" s="6">
        <v>358</v>
      </c>
      <c r="B359" s="6" t="str">
        <f>HYPERLINK("https://www.kmpharma.in/product/12203","Erythromycin Nitroso Impurity 1")</f>
        <v>Erythromycin Nitroso Impurity 1</v>
      </c>
      <c r="C359" s="6" t="str">
        <f>HYPERLINK("https://www.kmpharma.in/product/12203","KME001045")</f>
        <v>KME001045</v>
      </c>
      <c r="D359" s="6" t="s">
        <v>7</v>
      </c>
      <c r="E359" s="6" t="s">
        <v>16</v>
      </c>
    </row>
    <row r="360" spans="1:5" x14ac:dyDescent="0.25">
      <c r="A360" s="3">
        <v>359</v>
      </c>
      <c r="B360" s="3" t="str">
        <f>HYPERLINK("https://www.kmpharma.in/product/12275","Eslicarbazepine Acetate Nitroso Impurity 1")</f>
        <v>Eslicarbazepine Acetate Nitroso Impurity 1</v>
      </c>
      <c r="C360" s="3" t="str">
        <f>HYPERLINK("https://www.kmpharma.in/product/12275","KME090004")</f>
        <v>KME090004</v>
      </c>
      <c r="D360" s="3" t="s">
        <v>7</v>
      </c>
      <c r="E360" s="5" t="s">
        <v>323</v>
      </c>
    </row>
    <row r="361" spans="1:5" x14ac:dyDescent="0.25">
      <c r="A361" s="6">
        <v>360</v>
      </c>
      <c r="B361" s="6" t="str">
        <f>HYPERLINK("https://www.kmpharma.in/product/12288","Esmolol Acid Nitroso Impurity")</f>
        <v>Esmolol Acid Nitroso Impurity</v>
      </c>
      <c r="C361" s="6" t="str">
        <f>HYPERLINK("https://www.kmpharma.in/product/12288","KME006003")</f>
        <v>KME006003</v>
      </c>
      <c r="D361" s="6" t="s">
        <v>7</v>
      </c>
      <c r="E361" s="6" t="s">
        <v>16</v>
      </c>
    </row>
    <row r="362" spans="1:5" x14ac:dyDescent="0.25">
      <c r="A362" s="3">
        <v>361</v>
      </c>
      <c r="B362" s="3" t="str">
        <f>HYPERLINK("https://www.kmpharma.in/product/12290","Esmolol Isopropyl Amine Nitroso Impurity")</f>
        <v>Esmolol Isopropyl Amine Nitroso Impurity</v>
      </c>
      <c r="C362" s="3" t="str">
        <f>HYPERLINK("https://www.kmpharma.in/product/12290","KME006013")</f>
        <v>KME006013</v>
      </c>
      <c r="D362" s="3" t="s">
        <v>7</v>
      </c>
      <c r="E362" s="3" t="s">
        <v>16</v>
      </c>
    </row>
    <row r="363" spans="1:5" x14ac:dyDescent="0.25">
      <c r="A363" s="6">
        <v>362</v>
      </c>
      <c r="B363" s="6" t="str">
        <f>HYPERLINK("https://www.kmpharma.in/product/12289","Esmolol Nitroso Impurity")</f>
        <v>Esmolol Nitroso Impurity</v>
      </c>
      <c r="C363" s="6" t="str">
        <f>HYPERLINK("https://www.kmpharma.in/product/12289","KME006014")</f>
        <v>KME006014</v>
      </c>
      <c r="D363" s="6" t="s">
        <v>7</v>
      </c>
      <c r="E363" s="6" t="s">
        <v>16</v>
      </c>
    </row>
    <row r="364" spans="1:5" x14ac:dyDescent="0.25">
      <c r="A364" s="3">
        <v>363</v>
      </c>
      <c r="B364" s="3" t="str">
        <f>HYPERLINK("https://www.kmpharma.in/product/12291","Esmolol Nitroso Impurity 1")</f>
        <v>Esmolol Nitroso Impurity 1</v>
      </c>
      <c r="C364" s="3" t="str">
        <f>HYPERLINK("https://www.kmpharma.in/product/12291","KME006015")</f>
        <v>KME006015</v>
      </c>
      <c r="D364" s="3" t="s">
        <v>7</v>
      </c>
      <c r="E364" s="3" t="s">
        <v>16</v>
      </c>
    </row>
    <row r="365" spans="1:5" x14ac:dyDescent="0.25">
      <c r="A365" s="6">
        <v>364</v>
      </c>
      <c r="B365" s="6" t="str">
        <f>HYPERLINK("https://www.kmpharma.in/product/12292","Esmolol Nitroso Impurity 2")</f>
        <v>Esmolol Nitroso Impurity 2</v>
      </c>
      <c r="C365" s="6" t="str">
        <f>HYPERLINK("https://www.kmpharma.in/product/12292","KME006016")</f>
        <v>KME006016</v>
      </c>
      <c r="D365" s="6" t="s">
        <v>7</v>
      </c>
      <c r="E365" s="7" t="s">
        <v>321</v>
      </c>
    </row>
    <row r="366" spans="1:5" x14ac:dyDescent="0.25">
      <c r="A366" s="3">
        <v>365</v>
      </c>
      <c r="B366" s="3" t="str">
        <f>HYPERLINK("https://www.kmpharma.in/product/12334","Esomeprazole Nitroso Impurity 1")</f>
        <v>Esomeprazole Nitroso Impurity 1</v>
      </c>
      <c r="C366" s="3" t="str">
        <f>HYPERLINK("https://www.kmpharma.in/product/12334","KME013037")</f>
        <v>KME013037</v>
      </c>
      <c r="D366" s="3" t="s">
        <v>7</v>
      </c>
      <c r="E366" s="5" t="s">
        <v>321</v>
      </c>
    </row>
    <row r="367" spans="1:5" x14ac:dyDescent="0.25">
      <c r="A367" s="6">
        <v>366</v>
      </c>
      <c r="B367" s="6" t="str">
        <f>HYPERLINK("https://www.kmpharma.in/product/12335","Esomeprazole Nitroso Impurity 2")</f>
        <v>Esomeprazole Nitroso Impurity 2</v>
      </c>
      <c r="C367" s="6" t="str">
        <f>HYPERLINK("https://www.kmpharma.in/product/12335","KME013038")</f>
        <v>KME013038</v>
      </c>
      <c r="D367" s="6" t="s">
        <v>7</v>
      </c>
      <c r="E367" s="7" t="s">
        <v>321</v>
      </c>
    </row>
    <row r="368" spans="1:5" x14ac:dyDescent="0.25">
      <c r="A368" s="3">
        <v>367</v>
      </c>
      <c r="B368" s="3" t="str">
        <f>HYPERLINK("https://www.kmpharma.in/product/12336","Esomeprazole Nitroso Impurity 3")</f>
        <v>Esomeprazole Nitroso Impurity 3</v>
      </c>
      <c r="C368" s="3" t="str">
        <f>HYPERLINK("https://www.kmpharma.in/product/12336","KME013039")</f>
        <v>KME013039</v>
      </c>
      <c r="D368" s="3" t="s">
        <v>7</v>
      </c>
      <c r="E368" s="5" t="s">
        <v>321</v>
      </c>
    </row>
    <row r="369" spans="1:5" x14ac:dyDescent="0.25">
      <c r="A369" s="6">
        <v>368</v>
      </c>
      <c r="B369" s="6" t="str">
        <f>HYPERLINK("https://www.kmpharma.in/product/22991","Ethyl (R)-3-Nitrosothiazolidine-4-Carboxylate")</f>
        <v>Ethyl (R)-3-Nitrosothiazolidine-4-Carboxylate</v>
      </c>
      <c r="C369" s="6" t="str">
        <f>HYPERLINK("https://www.kmpharma.in/product/22991","KMN084032")</f>
        <v>KMN084032</v>
      </c>
      <c r="D369" s="6" t="s">
        <v>7</v>
      </c>
      <c r="E369" s="7" t="s">
        <v>321</v>
      </c>
    </row>
    <row r="370" spans="1:5" x14ac:dyDescent="0.25">
      <c r="A370" s="3">
        <v>369</v>
      </c>
      <c r="B370" s="3" t="str">
        <f>HYPERLINK("https://www.kmpharma.in/product/12644","Etodolac Nitroso Impurity")</f>
        <v>Etodolac Nitroso Impurity</v>
      </c>
      <c r="C370" s="3" t="str">
        <f>HYPERLINK("https://www.kmpharma.in/product/12644","KME116032")</f>
        <v>KME116032</v>
      </c>
      <c r="D370" s="3" t="s">
        <v>7</v>
      </c>
      <c r="E370" s="5" t="s">
        <v>321</v>
      </c>
    </row>
    <row r="371" spans="1:5" x14ac:dyDescent="0.25">
      <c r="A371" s="6">
        <v>370</v>
      </c>
      <c r="B371" s="6" t="str">
        <f>HYPERLINK("https://www.kmpharma.in/product/12645","Etodolac Nitroso Impurity 1")</f>
        <v>Etodolac Nitroso Impurity 1</v>
      </c>
      <c r="C371" s="6" t="str">
        <f>HYPERLINK("https://www.kmpharma.in/product/12645","KME116033")</f>
        <v>KME116033</v>
      </c>
      <c r="D371" s="6" t="s">
        <v>7</v>
      </c>
      <c r="E371" s="7" t="s">
        <v>323</v>
      </c>
    </row>
    <row r="372" spans="1:5" x14ac:dyDescent="0.25">
      <c r="A372" s="3">
        <v>371</v>
      </c>
      <c r="B372" s="3" t="str">
        <f>HYPERLINK("https://www.kmpharma.in/product/12646","Etodolac Nitroso Impurity 2")</f>
        <v>Etodolac Nitroso Impurity 2</v>
      </c>
      <c r="C372" s="3" t="str">
        <f>HYPERLINK("https://www.kmpharma.in/product/12646","KME116034")</f>
        <v>KME116034</v>
      </c>
      <c r="D372" s="3" t="s">
        <v>7</v>
      </c>
      <c r="E372" s="3" t="s">
        <v>16</v>
      </c>
    </row>
    <row r="373" spans="1:5" x14ac:dyDescent="0.25">
      <c r="A373" s="6">
        <v>372</v>
      </c>
      <c r="B373" s="6" t="str">
        <f>HYPERLINK("https://www.kmpharma.in/product/12647","Etodolac Nitroso Impurity 4")</f>
        <v>Etodolac Nitroso Impurity 4</v>
      </c>
      <c r="C373" s="6" t="str">
        <f>HYPERLINK("https://www.kmpharma.in/product/12647","KME116035")</f>
        <v>KME116035</v>
      </c>
      <c r="D373" s="6" t="s">
        <v>7</v>
      </c>
      <c r="E373" s="6" t="s">
        <v>16</v>
      </c>
    </row>
    <row r="374" spans="1:5" x14ac:dyDescent="0.25">
      <c r="A374" s="3">
        <v>373</v>
      </c>
      <c r="B374" s="3" t="str">
        <f>HYPERLINK("https://www.kmpharma.in/product/12648","Etodolac Nitroso Impurity 5")</f>
        <v>Etodolac Nitroso Impurity 5</v>
      </c>
      <c r="C374" s="3" t="str">
        <f>HYPERLINK("https://www.kmpharma.in/product/12648","KME116036")</f>
        <v>KME116036</v>
      </c>
      <c r="D374" s="3" t="s">
        <v>7</v>
      </c>
      <c r="E374" s="5" t="s">
        <v>321</v>
      </c>
    </row>
    <row r="375" spans="1:5" x14ac:dyDescent="0.25">
      <c r="A375" s="6">
        <v>374</v>
      </c>
      <c r="B375" s="6" t="str">
        <f>HYPERLINK("https://www.kmpharma.in/product/12649","Etodolac Nitroso Impurity 6")</f>
        <v>Etodolac Nitroso Impurity 6</v>
      </c>
      <c r="C375" s="6" t="str">
        <f>HYPERLINK("https://www.kmpharma.in/product/12649","KME116037")</f>
        <v>KME116037</v>
      </c>
      <c r="D375" s="6" t="s">
        <v>7</v>
      </c>
      <c r="E375" s="7" t="s">
        <v>321</v>
      </c>
    </row>
    <row r="376" spans="1:5" x14ac:dyDescent="0.25">
      <c r="A376" s="3">
        <v>375</v>
      </c>
      <c r="B376" s="3" t="str">
        <f>HYPERLINK("https://www.kmpharma.in/product/12660","Etofenamate Nitroso Impurity")</f>
        <v>Etofenamate Nitroso Impurity</v>
      </c>
      <c r="C376" s="3" t="str">
        <f>HYPERLINK("https://www.kmpharma.in/product/12660","KME117010")</f>
        <v>KME117010</v>
      </c>
      <c r="D376" s="3" t="s">
        <v>7</v>
      </c>
      <c r="E376" s="5" t="s">
        <v>323</v>
      </c>
    </row>
    <row r="377" spans="1:5" x14ac:dyDescent="0.25">
      <c r="A377" s="6">
        <v>376</v>
      </c>
      <c r="B377" s="6" t="str">
        <f>HYPERLINK("https://www.kmpharma.in/product/12679","Etomidate Nitroso Impurity 1")</f>
        <v>Etomidate Nitroso Impurity 1</v>
      </c>
      <c r="C377" s="6" t="str">
        <f>HYPERLINK("https://www.kmpharma.in/product/12679","KME119012")</f>
        <v>KME119012</v>
      </c>
      <c r="D377" s="6" t="s">
        <v>62</v>
      </c>
      <c r="E377" s="6" t="s">
        <v>16</v>
      </c>
    </row>
    <row r="378" spans="1:5" x14ac:dyDescent="0.25">
      <c r="A378" s="3">
        <v>377</v>
      </c>
      <c r="B378" s="3" t="str">
        <f>HYPERLINK("https://www.kmpharma.in/product/12828","Etravirine 3-Amino Bromo Nitroso Impurity")</f>
        <v>Etravirine 3-Amino Bromo Nitroso Impurity</v>
      </c>
      <c r="C378" s="3" t="str">
        <f>HYPERLINK("https://www.kmpharma.in/product/12828","KME007008")</f>
        <v>KME007008</v>
      </c>
      <c r="D378" s="3" t="s">
        <v>7</v>
      </c>
      <c r="E378" s="5" t="s">
        <v>321</v>
      </c>
    </row>
    <row r="379" spans="1:5" x14ac:dyDescent="0.25">
      <c r="A379" s="6">
        <v>378</v>
      </c>
      <c r="B379" s="6" t="str">
        <f>HYPERLINK("https://www.kmpharma.in/product/12829","Etravirine 6-Dimer Nitroso Impurity")</f>
        <v>Etravirine 6-Dimer Nitroso Impurity</v>
      </c>
      <c r="C379" s="6" t="str">
        <f>HYPERLINK("https://www.kmpharma.in/product/12829","KME007010")</f>
        <v>KME007010</v>
      </c>
      <c r="D379" s="6" t="s">
        <v>7</v>
      </c>
      <c r="E379" s="6" t="s">
        <v>16</v>
      </c>
    </row>
    <row r="380" spans="1:5" x14ac:dyDescent="0.25">
      <c r="A380" s="3">
        <v>379</v>
      </c>
      <c r="B380" s="3" t="str">
        <f>HYPERLINK("https://www.kmpharma.in/product/12830","Etravirine Chloro Nitroso Impurity")</f>
        <v>Etravirine Chloro Nitroso Impurity</v>
      </c>
      <c r="C380" s="3" t="str">
        <f>HYPERLINK("https://www.kmpharma.in/product/12830","KME007013")</f>
        <v>KME007013</v>
      </c>
      <c r="D380" s="3" t="s">
        <v>7</v>
      </c>
      <c r="E380" s="5" t="s">
        <v>321</v>
      </c>
    </row>
    <row r="381" spans="1:5" x14ac:dyDescent="0.25">
      <c r="A381" s="6">
        <v>380</v>
      </c>
      <c r="B381" s="6" t="str">
        <f>HYPERLINK("https://www.kmpharma.in/product/12832","Etravirine N-Oxide Nitroso Impurity 21")</f>
        <v>Etravirine N-Oxide Nitroso Impurity 21</v>
      </c>
      <c r="C381" s="6" t="str">
        <f>HYPERLINK("https://www.kmpharma.in/product/12832","KME007031")</f>
        <v>KME007031</v>
      </c>
      <c r="D381" s="6" t="s">
        <v>7</v>
      </c>
      <c r="E381" s="6" t="s">
        <v>16</v>
      </c>
    </row>
    <row r="382" spans="1:5" x14ac:dyDescent="0.25">
      <c r="A382" s="3">
        <v>381</v>
      </c>
      <c r="B382" s="3" t="str">
        <f>HYPERLINK("https://www.kmpharma.in/product/12834","Etravirine Nitroso Impurity")</f>
        <v>Etravirine Nitroso Impurity</v>
      </c>
      <c r="C382" s="3" t="str">
        <f>HYPERLINK("https://www.kmpharma.in/product/12834","KME007032")</f>
        <v>KME007032</v>
      </c>
      <c r="D382" s="3" t="s">
        <v>7</v>
      </c>
      <c r="E382" s="5" t="s">
        <v>324</v>
      </c>
    </row>
    <row r="383" spans="1:5" x14ac:dyDescent="0.25">
      <c r="A383" s="6">
        <v>382</v>
      </c>
      <c r="B383" s="6" t="str">
        <f>HYPERLINK("https://www.kmpharma.in/product/12835","Etravirine Nitroso Impurity 1")</f>
        <v>Etravirine Nitroso Impurity 1</v>
      </c>
      <c r="C383" s="6" t="str">
        <f>HYPERLINK("https://www.kmpharma.in/product/12835","KME007033")</f>
        <v>KME007033</v>
      </c>
      <c r="D383" s="6" t="s">
        <v>7</v>
      </c>
      <c r="E383" s="7" t="s">
        <v>321</v>
      </c>
    </row>
    <row r="384" spans="1:5" x14ac:dyDescent="0.25">
      <c r="A384" s="3">
        <v>383</v>
      </c>
      <c r="B384" s="3" t="str">
        <f>HYPERLINK("https://www.kmpharma.in/product/12836","Etravirine Nitroso Impurity 2")</f>
        <v>Etravirine Nitroso Impurity 2</v>
      </c>
      <c r="C384" s="3" t="str">
        <f>HYPERLINK("https://www.kmpharma.in/product/12836","KME007034")</f>
        <v>KME007034</v>
      </c>
      <c r="D384" s="3" t="s">
        <v>7</v>
      </c>
      <c r="E384" s="3" t="s">
        <v>16</v>
      </c>
    </row>
    <row r="385" spans="1:5" x14ac:dyDescent="0.25">
      <c r="A385" s="6">
        <v>384</v>
      </c>
      <c r="B385" s="6" t="str">
        <f>HYPERLINK("https://www.kmpharma.in/product/12837","Etravirine Nitroso Impurity 3")</f>
        <v>Etravirine Nitroso Impurity 3</v>
      </c>
      <c r="C385" s="6" t="str">
        <f>HYPERLINK("https://www.kmpharma.in/product/12837","KME007035")</f>
        <v>KME007035</v>
      </c>
      <c r="D385" s="6" t="s">
        <v>7</v>
      </c>
      <c r="E385" s="7" t="s">
        <v>321</v>
      </c>
    </row>
    <row r="386" spans="1:5" x14ac:dyDescent="0.25">
      <c r="A386" s="3">
        <v>385</v>
      </c>
      <c r="B386" s="3" t="str">
        <f>HYPERLINK("https://www.kmpharma.in/product/13048","Ezetimibe Benzyl Diol Nitroso Impurity")</f>
        <v>Ezetimibe Benzyl Diol Nitroso Impurity</v>
      </c>
      <c r="C386" s="3" t="str">
        <f>HYPERLINK("https://www.kmpharma.in/product/13048","KME005033")</f>
        <v>KME005033</v>
      </c>
      <c r="D386" s="3" t="s">
        <v>7</v>
      </c>
      <c r="E386" s="5" t="s">
        <v>321</v>
      </c>
    </row>
    <row r="387" spans="1:5" x14ac:dyDescent="0.25">
      <c r="A387" s="6">
        <v>386</v>
      </c>
      <c r="B387" s="6" t="str">
        <f>HYPERLINK("https://www.kmpharma.in/product/13057","Ezetimibe Nitroso Impurity 1")</f>
        <v>Ezetimibe Nitroso Impurity 1</v>
      </c>
      <c r="C387" s="6" t="str">
        <f>HYPERLINK("https://www.kmpharma.in/product/13057","KME005108")</f>
        <v>KME005108</v>
      </c>
      <c r="D387" s="6" t="s">
        <v>7</v>
      </c>
      <c r="E387" s="7" t="s">
        <v>321</v>
      </c>
    </row>
    <row r="388" spans="1:5" x14ac:dyDescent="0.25">
      <c r="A388" s="3">
        <v>387</v>
      </c>
      <c r="B388" s="3" t="str">
        <f>HYPERLINK("https://www.kmpharma.in/product/13058","Ezetimibe Nitroso Impurity 2")</f>
        <v>Ezetimibe Nitroso Impurity 2</v>
      </c>
      <c r="C388" s="3" t="str">
        <f>HYPERLINK("https://www.kmpharma.in/product/13058","KME005109")</f>
        <v>KME005109</v>
      </c>
      <c r="D388" s="3" t="s">
        <v>7</v>
      </c>
      <c r="E388" s="5" t="s">
        <v>321</v>
      </c>
    </row>
    <row r="389" spans="1:5" x14ac:dyDescent="0.25">
      <c r="A389" s="6">
        <v>388</v>
      </c>
      <c r="B389" s="6" t="str">
        <f>HYPERLINK("https://www.kmpharma.in/product/13049","Ezetimibe Nitroso Impurity 4")</f>
        <v>Ezetimibe Nitroso Impurity 4</v>
      </c>
      <c r="C389" s="6" t="str">
        <f>HYPERLINK("https://www.kmpharma.in/product/13049","KME005110")</f>
        <v>KME005110</v>
      </c>
      <c r="D389" s="6" t="s">
        <v>7</v>
      </c>
      <c r="E389" s="7" t="s">
        <v>321</v>
      </c>
    </row>
    <row r="390" spans="1:5" x14ac:dyDescent="0.25">
      <c r="A390" s="3">
        <v>389</v>
      </c>
      <c r="B390" s="3" t="str">
        <f>HYPERLINK("https://www.kmpharma.in/product/13050","Ezetimibe Nitroso Impurity 5")</f>
        <v>Ezetimibe Nitroso Impurity 5</v>
      </c>
      <c r="C390" s="3" t="str">
        <f>HYPERLINK("https://www.kmpharma.in/product/13050","KME005111")</f>
        <v>KME005111</v>
      </c>
      <c r="D390" s="3" t="s">
        <v>7</v>
      </c>
      <c r="E390" s="5" t="s">
        <v>321</v>
      </c>
    </row>
    <row r="391" spans="1:5" x14ac:dyDescent="0.25">
      <c r="A391" s="6">
        <v>390</v>
      </c>
      <c r="B391" s="6" t="str">
        <f>HYPERLINK("https://www.kmpharma.in/product/13051","Ezetimibe Nitroso Impurity 6")</f>
        <v>Ezetimibe Nitroso Impurity 6</v>
      </c>
      <c r="C391" s="6" t="str">
        <f>HYPERLINK("https://www.kmpharma.in/product/13051","KME005112")</f>
        <v>KME005112</v>
      </c>
      <c r="D391" s="6" t="s">
        <v>7</v>
      </c>
      <c r="E391" s="7" t="s">
        <v>321</v>
      </c>
    </row>
    <row r="392" spans="1:5" x14ac:dyDescent="0.25">
      <c r="A392" s="3">
        <v>391</v>
      </c>
      <c r="B392" s="3" t="str">
        <f>HYPERLINK("https://www.kmpharma.in/product/13052","Ezetimibe Nitroso Impurity 7")</f>
        <v>Ezetimibe Nitroso Impurity 7</v>
      </c>
      <c r="C392" s="3" t="str">
        <f>HYPERLINK("https://www.kmpharma.in/product/13052","KME005113")</f>
        <v>KME005113</v>
      </c>
      <c r="D392" s="3" t="s">
        <v>7</v>
      </c>
      <c r="E392" s="5" t="s">
        <v>321</v>
      </c>
    </row>
    <row r="393" spans="1:5" x14ac:dyDescent="0.25">
      <c r="A393" s="6">
        <v>392</v>
      </c>
      <c r="B393" s="6" t="str">
        <f>HYPERLINK("https://www.kmpharma.in/product/13053","Ezetimibe Nitroso Impurity 8")</f>
        <v>Ezetimibe Nitroso Impurity 8</v>
      </c>
      <c r="C393" s="6" t="str">
        <f>HYPERLINK("https://www.kmpharma.in/product/13053","KME005114")</f>
        <v>KME005114</v>
      </c>
      <c r="D393" s="6" t="s">
        <v>7</v>
      </c>
      <c r="E393" s="7" t="s">
        <v>321</v>
      </c>
    </row>
    <row r="394" spans="1:5" x14ac:dyDescent="0.25">
      <c r="A394" s="3">
        <v>393</v>
      </c>
      <c r="B394" s="3" t="str">
        <f>HYPERLINK("https://www.kmpharma.in/product/13054","Ezetimibe Nitroso Impurity 9")</f>
        <v>Ezetimibe Nitroso Impurity 9</v>
      </c>
      <c r="C394" s="3" t="str">
        <f>HYPERLINK("https://www.kmpharma.in/product/13054","KME005115")</f>
        <v>KME005115</v>
      </c>
      <c r="D394" s="3" t="s">
        <v>7</v>
      </c>
      <c r="E394" s="5" t="s">
        <v>321</v>
      </c>
    </row>
    <row r="395" spans="1:5" x14ac:dyDescent="0.25">
      <c r="A395" s="6">
        <v>394</v>
      </c>
      <c r="B395" s="6" t="str">
        <f>HYPERLINK("https://www.kmpharma.in/product/13055","Ezetimibe Open-Ring Alcohol Nitroso Impurity")</f>
        <v>Ezetimibe Open-Ring Alcohol Nitroso Impurity</v>
      </c>
      <c r="C395" s="6" t="str">
        <f>HYPERLINK("https://www.kmpharma.in/product/13055","KME005119")</f>
        <v>KME005119</v>
      </c>
      <c r="D395" s="6" t="s">
        <v>7</v>
      </c>
      <c r="E395" s="7" t="s">
        <v>321</v>
      </c>
    </row>
    <row r="396" spans="1:5" x14ac:dyDescent="0.25">
      <c r="A396" s="3">
        <v>395</v>
      </c>
      <c r="B396" s="3" t="str">
        <f>HYPERLINK("https://www.kmpharma.in/product/13141","Famotidine Nitroso Impurity 1")</f>
        <v>Famotidine Nitroso Impurity 1</v>
      </c>
      <c r="C396" s="3" t="str">
        <f>HYPERLINK("https://www.kmpharma.in/product/13141","KMF014045")</f>
        <v>KMF014045</v>
      </c>
      <c r="D396" s="3" t="s">
        <v>7</v>
      </c>
      <c r="E396" s="5" t="s">
        <v>321</v>
      </c>
    </row>
    <row r="397" spans="1:5" x14ac:dyDescent="0.25">
      <c r="A397" s="6">
        <v>396</v>
      </c>
      <c r="B397" s="6" t="str">
        <f>HYPERLINK("https://www.kmpharma.in/product/13137","Famotidine Nitroso Impurity 2")</f>
        <v>Famotidine Nitroso Impurity 2</v>
      </c>
      <c r="C397" s="6" t="str">
        <f>HYPERLINK("https://www.kmpharma.in/product/13137","KMF014046")</f>
        <v>KMF014046</v>
      </c>
      <c r="D397" s="6" t="s">
        <v>7</v>
      </c>
      <c r="E397" s="7" t="s">
        <v>321</v>
      </c>
    </row>
    <row r="398" spans="1:5" x14ac:dyDescent="0.25">
      <c r="A398" s="3">
        <v>397</v>
      </c>
      <c r="B398" s="3" t="str">
        <f>HYPERLINK("https://www.kmpharma.in/product/13138","Famotidine Nitroso Impurity 3")</f>
        <v>Famotidine Nitroso Impurity 3</v>
      </c>
      <c r="C398" s="3" t="str">
        <f>HYPERLINK("https://www.kmpharma.in/product/13138","KMF014047")</f>
        <v>KMF014047</v>
      </c>
      <c r="D398" s="3" t="s">
        <v>7</v>
      </c>
      <c r="E398" s="5" t="s">
        <v>321</v>
      </c>
    </row>
    <row r="399" spans="1:5" x14ac:dyDescent="0.25">
      <c r="A399" s="6">
        <v>398</v>
      </c>
      <c r="B399" s="6" t="str">
        <f>HYPERLINK("https://www.kmpharma.in/product/13379","Fenoterol Nitroso Impurity")</f>
        <v>Fenoterol Nitroso Impurity</v>
      </c>
      <c r="C399" s="6" t="str">
        <f>HYPERLINK("https://www.kmpharma.in/product/13379","KMF032006")</f>
        <v>KMF032006</v>
      </c>
      <c r="D399" s="6" t="s">
        <v>7</v>
      </c>
      <c r="E399" s="7" t="s">
        <v>321</v>
      </c>
    </row>
    <row r="400" spans="1:5" x14ac:dyDescent="0.25">
      <c r="A400" s="3">
        <v>399</v>
      </c>
      <c r="B400" s="3" t="str">
        <f>HYPERLINK("https://www.kmpharma.in/product/13612","Finerenone Nitroso Impurity")</f>
        <v>Finerenone Nitroso Impurity</v>
      </c>
      <c r="C400" s="3" t="str">
        <f>HYPERLINK("https://www.kmpharma.in/product/13612","KMF049030")</f>
        <v>KMF049030</v>
      </c>
      <c r="D400" s="3" t="s">
        <v>7</v>
      </c>
      <c r="E400" s="5" t="s">
        <v>321</v>
      </c>
    </row>
    <row r="401" spans="1:5" x14ac:dyDescent="0.25">
      <c r="A401" s="6">
        <v>400</v>
      </c>
      <c r="B401" s="6" t="str">
        <f>HYPERLINK("https://www.kmpharma.in/product/13758","Flubendazole Nitroso Impurity")</f>
        <v>Flubendazole Nitroso Impurity</v>
      </c>
      <c r="C401" s="6" t="str">
        <f>HYPERLINK("https://www.kmpharma.in/product/13758","KMF063009")</f>
        <v>KMF063009</v>
      </c>
      <c r="D401" s="6" t="s">
        <v>7</v>
      </c>
      <c r="E401" s="7" t="s">
        <v>324</v>
      </c>
    </row>
    <row r="402" spans="1:5" x14ac:dyDescent="0.25">
      <c r="A402" s="3">
        <v>401</v>
      </c>
      <c r="B402" s="3" t="str">
        <f>HYPERLINK("https://www.kmpharma.in/product/13816","Fluconazole Nitroso Impurity 1")</f>
        <v>Fluconazole Nitroso Impurity 1</v>
      </c>
      <c r="C402" s="3" t="str">
        <f>HYPERLINK("https://www.kmpharma.in/product/13816","KMF003035")</f>
        <v>KMF003035</v>
      </c>
      <c r="D402" s="3" t="s">
        <v>7</v>
      </c>
      <c r="E402" s="5" t="s">
        <v>323</v>
      </c>
    </row>
    <row r="403" spans="1:5" x14ac:dyDescent="0.25">
      <c r="A403" s="6">
        <v>402</v>
      </c>
      <c r="B403" s="6" t="str">
        <f>HYPERLINK("https://www.kmpharma.in/product/13817","Fluconazole Nitroso Impurity 2")</f>
        <v>Fluconazole Nitroso Impurity 2</v>
      </c>
      <c r="C403" s="6" t="str">
        <f>HYPERLINK("https://www.kmpharma.in/product/13817","KMF003036")</f>
        <v>KMF003036</v>
      </c>
      <c r="D403" s="6" t="s">
        <v>7</v>
      </c>
      <c r="E403" s="7" t="s">
        <v>321</v>
      </c>
    </row>
    <row r="404" spans="1:5" x14ac:dyDescent="0.25">
      <c r="A404" s="3">
        <v>403</v>
      </c>
      <c r="B404" s="3" t="str">
        <f>HYPERLINK("https://www.kmpharma.in/product/13902","Flunixin Nitroso Impurity")</f>
        <v>Flunixin Nitroso Impurity</v>
      </c>
      <c r="C404" s="3" t="str">
        <f>HYPERLINK("https://www.kmpharma.in/product/13902","KMF080011")</f>
        <v>KMF080011</v>
      </c>
      <c r="D404" s="3" t="s">
        <v>7</v>
      </c>
      <c r="E404" s="3" t="s">
        <v>16</v>
      </c>
    </row>
    <row r="405" spans="1:5" x14ac:dyDescent="0.25">
      <c r="A405" s="6">
        <v>404</v>
      </c>
      <c r="B405" s="6" t="str">
        <f>HYPERLINK("https://www.kmpharma.in/product/14001","Fluorouracil Nitroso Impurity 1")</f>
        <v>Fluorouracil Nitroso Impurity 1</v>
      </c>
      <c r="C405" s="6" t="str">
        <f>HYPERLINK("https://www.kmpharma.in/product/14001","KMF011021")</f>
        <v>KMF011021</v>
      </c>
      <c r="D405" s="6" t="s">
        <v>7</v>
      </c>
      <c r="E405" s="7" t="s">
        <v>321</v>
      </c>
    </row>
    <row r="406" spans="1:5" x14ac:dyDescent="0.25">
      <c r="A406" s="3">
        <v>405</v>
      </c>
      <c r="B406" s="3" t="str">
        <f>HYPERLINK("https://www.kmpharma.in/product/14002","Fluorouracil Nitroso Impurity 2")</f>
        <v>Fluorouracil Nitroso Impurity 2</v>
      </c>
      <c r="C406" s="3" t="str">
        <f>HYPERLINK("https://www.kmpharma.in/product/14002","KMF011022")</f>
        <v>KMF011022</v>
      </c>
      <c r="D406" s="3" t="s">
        <v>7</v>
      </c>
      <c r="E406" s="5" t="s">
        <v>321</v>
      </c>
    </row>
    <row r="407" spans="1:5" x14ac:dyDescent="0.25">
      <c r="A407" s="6">
        <v>406</v>
      </c>
      <c r="B407" s="6" t="str">
        <f>HYPERLINK("https://www.kmpharma.in/product/14003","Fluorouracil Nitroso Impurity 3")</f>
        <v>Fluorouracil Nitroso Impurity 3</v>
      </c>
      <c r="C407" s="6" t="str">
        <f>HYPERLINK("https://www.kmpharma.in/product/14003","KMF011023")</f>
        <v>KMF011023</v>
      </c>
      <c r="D407" s="6" t="s">
        <v>7</v>
      </c>
      <c r="E407" s="7" t="s">
        <v>321</v>
      </c>
    </row>
    <row r="408" spans="1:5" x14ac:dyDescent="0.25">
      <c r="A408" s="3">
        <v>407</v>
      </c>
      <c r="B408" s="3" t="str">
        <f>HYPERLINK("https://www.kmpharma.in/product/14015","Fluoxetine Nitroso EP Impurity A")</f>
        <v>Fluoxetine Nitroso EP Impurity A</v>
      </c>
      <c r="C408" s="3" t="str">
        <f>HYPERLINK("https://www.kmpharma.in/product/14015","KMF001027")</f>
        <v>KMF001027</v>
      </c>
      <c r="D408" s="3" t="s">
        <v>63</v>
      </c>
      <c r="E408" s="5" t="s">
        <v>321</v>
      </c>
    </row>
    <row r="409" spans="1:5" x14ac:dyDescent="0.25">
      <c r="A409" s="6">
        <v>408</v>
      </c>
      <c r="B409" s="6" t="str">
        <f>HYPERLINK("https://www.kmpharma.in/product/14039","Fluoxetine Nitroso EP Impurity B")</f>
        <v>Fluoxetine Nitroso EP Impurity B</v>
      </c>
      <c r="C409" s="6" t="str">
        <f>HYPERLINK("https://www.kmpharma.in/product/14039","KMF001028")</f>
        <v>KMF001028</v>
      </c>
      <c r="D409" s="6" t="s">
        <v>64</v>
      </c>
      <c r="E409" s="7" t="s">
        <v>321</v>
      </c>
    </row>
    <row r="410" spans="1:5" x14ac:dyDescent="0.25">
      <c r="A410" s="3">
        <v>409</v>
      </c>
      <c r="B410" s="3" t="str">
        <f>HYPERLINK("https://www.kmpharma.in/product/14040","Fluoxetine Nitroso EP Impurity C")</f>
        <v>Fluoxetine Nitroso EP Impurity C</v>
      </c>
      <c r="C410" s="3" t="str">
        <f>HYPERLINK("https://www.kmpharma.in/product/14040","KMF001029")</f>
        <v>KMF001029</v>
      </c>
      <c r="D410" s="3" t="s">
        <v>7</v>
      </c>
      <c r="E410" s="5" t="s">
        <v>321</v>
      </c>
    </row>
    <row r="411" spans="1:5" x14ac:dyDescent="0.25">
      <c r="A411" s="6">
        <v>410</v>
      </c>
      <c r="B411" s="6" t="str">
        <f>HYPERLINK("https://www.kmpharma.in/product/14043","Fluoxetine Nitroso Impurity 1")</f>
        <v>Fluoxetine Nitroso Impurity 1</v>
      </c>
      <c r="C411" s="6" t="str">
        <f>HYPERLINK("https://www.kmpharma.in/product/14043","KMF001030")</f>
        <v>KMF001030</v>
      </c>
      <c r="D411" s="6" t="s">
        <v>7</v>
      </c>
      <c r="E411" s="7" t="s">
        <v>321</v>
      </c>
    </row>
    <row r="412" spans="1:5" x14ac:dyDescent="0.25">
      <c r="A412" s="3">
        <v>411</v>
      </c>
      <c r="B412" s="3" t="str">
        <f>HYPERLINK("https://www.kmpharma.in/product/14083","Fluphenazine Nitroso Impurity 1")</f>
        <v>Fluphenazine Nitroso Impurity 1</v>
      </c>
      <c r="C412" s="3" t="str">
        <f>HYPERLINK("https://www.kmpharma.in/product/14083","KMF008026")</f>
        <v>KMF008026</v>
      </c>
      <c r="D412" s="3" t="s">
        <v>7</v>
      </c>
      <c r="E412" s="5" t="s">
        <v>321</v>
      </c>
    </row>
    <row r="413" spans="1:5" x14ac:dyDescent="0.25">
      <c r="A413" s="6">
        <v>412</v>
      </c>
      <c r="B413" s="6" t="str">
        <f>HYPERLINK("https://www.kmpharma.in/product/14380","Folinic Acid Nitroso Impurity 1")</f>
        <v>Folinic Acid Nitroso Impurity 1</v>
      </c>
      <c r="C413" s="6" t="str">
        <f>HYPERLINK("https://www.kmpharma.in/product/14380","KMF101024")</f>
        <v>KMF101024</v>
      </c>
      <c r="D413" s="6" t="s">
        <v>7</v>
      </c>
      <c r="E413" s="7" t="s">
        <v>321</v>
      </c>
    </row>
    <row r="414" spans="1:5" x14ac:dyDescent="0.25">
      <c r="A414" s="3">
        <v>413</v>
      </c>
      <c r="B414" s="3" t="str">
        <f>HYPERLINK("https://www.kmpharma.in/product/14374","Folinic Acid Nitroso Impurity 2")</f>
        <v>Folinic Acid Nitroso Impurity 2</v>
      </c>
      <c r="C414" s="3" t="str">
        <f>HYPERLINK("https://www.kmpharma.in/product/14374","KMF101025")</f>
        <v>KMF101025</v>
      </c>
      <c r="D414" s="3" t="s">
        <v>7</v>
      </c>
      <c r="E414" s="5" t="s">
        <v>321</v>
      </c>
    </row>
    <row r="415" spans="1:5" x14ac:dyDescent="0.25">
      <c r="A415" s="6">
        <v>414</v>
      </c>
      <c r="B415" s="6" t="str">
        <f>HYPERLINK("https://www.kmpharma.in/product/14379","Folinic Acid Nitroso Impurity 3")</f>
        <v>Folinic Acid Nitroso Impurity 3</v>
      </c>
      <c r="C415" s="6" t="str">
        <f>HYPERLINK("https://www.kmpharma.in/product/14379","KMF101026")</f>
        <v>KMF101026</v>
      </c>
      <c r="D415" s="6" t="s">
        <v>7</v>
      </c>
      <c r="E415" s="7" t="s">
        <v>321</v>
      </c>
    </row>
    <row r="416" spans="1:5" x14ac:dyDescent="0.25">
      <c r="A416" s="3">
        <v>415</v>
      </c>
      <c r="B416" s="3" t="str">
        <f>HYPERLINK("https://www.kmpharma.in/product/14378","Folinic Acid Nitroso Impurity 4")</f>
        <v>Folinic Acid Nitroso Impurity 4</v>
      </c>
      <c r="C416" s="3" t="str">
        <f>HYPERLINK("https://www.kmpharma.in/product/14378","KMF101027")</f>
        <v>KMF101027</v>
      </c>
      <c r="D416" s="3" t="s">
        <v>7</v>
      </c>
      <c r="E416" s="5" t="s">
        <v>321</v>
      </c>
    </row>
    <row r="417" spans="1:5" x14ac:dyDescent="0.25">
      <c r="A417" s="6">
        <v>416</v>
      </c>
      <c r="B417" s="6" t="str">
        <f>HYPERLINK("https://www.kmpharma.in/product/14381","Folinic Acid Nitroso Impurity 5")</f>
        <v>Folinic Acid Nitroso Impurity 5</v>
      </c>
      <c r="C417" s="6" t="str">
        <f>HYPERLINK("https://www.kmpharma.in/product/14381","KMF101028")</f>
        <v>KMF101028</v>
      </c>
      <c r="D417" s="6" t="s">
        <v>7</v>
      </c>
      <c r="E417" s="7" t="s">
        <v>321</v>
      </c>
    </row>
    <row r="418" spans="1:5" x14ac:dyDescent="0.25">
      <c r="A418" s="3">
        <v>417</v>
      </c>
      <c r="B418" s="3" t="str">
        <f>HYPERLINK("https://www.kmpharma.in/product/14375","Folinic Acid Nitroso Impurity 6")</f>
        <v>Folinic Acid Nitroso Impurity 6</v>
      </c>
      <c r="C418" s="3" t="str">
        <f>HYPERLINK("https://www.kmpharma.in/product/14375","KMF101029")</f>
        <v>KMF101029</v>
      </c>
      <c r="D418" s="3" t="s">
        <v>7</v>
      </c>
      <c r="E418" s="5" t="s">
        <v>321</v>
      </c>
    </row>
    <row r="419" spans="1:5" x14ac:dyDescent="0.25">
      <c r="A419" s="6">
        <v>418</v>
      </c>
      <c r="B419" s="6" t="str">
        <f>HYPERLINK("https://www.kmpharma.in/product/14384","Fomepizole Nitroso Impurity")</f>
        <v>Fomepizole Nitroso Impurity</v>
      </c>
      <c r="C419" s="6" t="str">
        <f>HYPERLINK("https://www.kmpharma.in/product/14384","KMF102002")</f>
        <v>KMF102002</v>
      </c>
      <c r="D419" s="6" t="s">
        <v>7</v>
      </c>
      <c r="E419" s="7" t="s">
        <v>321</v>
      </c>
    </row>
    <row r="420" spans="1:5" x14ac:dyDescent="0.25">
      <c r="A420" s="3">
        <v>419</v>
      </c>
      <c r="B420" s="3" t="str">
        <f>HYPERLINK("https://www.kmpharma.in/product/14462","Formoterol Nitroso Impurity 2")</f>
        <v>Formoterol Nitroso Impurity 2</v>
      </c>
      <c r="C420" s="3" t="str">
        <f>HYPERLINK("https://www.kmpharma.in/product/14462","KMF104065")</f>
        <v>KMF104065</v>
      </c>
      <c r="D420" s="3" t="s">
        <v>7</v>
      </c>
      <c r="E420" s="5" t="s">
        <v>321</v>
      </c>
    </row>
    <row r="421" spans="1:5" x14ac:dyDescent="0.25">
      <c r="A421" s="6">
        <v>420</v>
      </c>
      <c r="B421" s="6" t="str">
        <f>HYPERLINK("https://www.kmpharma.in/product/14463","Formoterol Nitroso Impurity 3")</f>
        <v>Formoterol Nitroso Impurity 3</v>
      </c>
      <c r="C421" s="6" t="str">
        <f>HYPERLINK("https://www.kmpharma.in/product/14463","KMF104066")</f>
        <v>KMF104066</v>
      </c>
      <c r="D421" s="6" t="s">
        <v>7</v>
      </c>
      <c r="E421" s="7" t="s">
        <v>323</v>
      </c>
    </row>
    <row r="422" spans="1:5" x14ac:dyDescent="0.25">
      <c r="A422" s="3">
        <v>421</v>
      </c>
      <c r="B422" s="3" t="str">
        <f>HYPERLINK("https://www.kmpharma.in/product/14579","Fosinopril Nitroso lmpurity 1")</f>
        <v>Fosinopril Nitroso lmpurity 1</v>
      </c>
      <c r="C422" s="3" t="str">
        <f>HYPERLINK("https://www.kmpharma.in/product/14579","KMF109013")</f>
        <v>KMF109013</v>
      </c>
      <c r="D422" s="3" t="s">
        <v>7</v>
      </c>
      <c r="E422" s="5" t="s">
        <v>321</v>
      </c>
    </row>
    <row r="423" spans="1:5" x14ac:dyDescent="0.25">
      <c r="A423" s="6">
        <v>422</v>
      </c>
      <c r="B423" s="6" t="str">
        <f>HYPERLINK("https://www.kmpharma.in/product/14612","Fostamatinib Nitroso Impurity 1")</f>
        <v>Fostamatinib Nitroso Impurity 1</v>
      </c>
      <c r="C423" s="6" t="str">
        <f>HYPERLINK("https://www.kmpharma.in/product/14612","KMF113004")</f>
        <v>KMF113004</v>
      </c>
      <c r="D423" s="6" t="s">
        <v>7</v>
      </c>
      <c r="E423" s="7" t="s">
        <v>321</v>
      </c>
    </row>
    <row r="424" spans="1:5" x14ac:dyDescent="0.25">
      <c r="A424" s="3">
        <v>423</v>
      </c>
      <c r="B424" s="3" t="str">
        <f>HYPERLINK("https://www.kmpharma.in/product/14613","Fostamatinib Nitroso Impurity 2")</f>
        <v>Fostamatinib Nitroso Impurity 2</v>
      </c>
      <c r="C424" s="3" t="str">
        <f>HYPERLINK("https://www.kmpharma.in/product/14613","KMF113005")</f>
        <v>KMF113005</v>
      </c>
      <c r="D424" s="3" t="s">
        <v>7</v>
      </c>
      <c r="E424" s="5" t="s">
        <v>321</v>
      </c>
    </row>
    <row r="425" spans="1:5" x14ac:dyDescent="0.25">
      <c r="A425" s="6">
        <v>424</v>
      </c>
      <c r="B425" s="6" t="str">
        <f>HYPERLINK("https://www.kmpharma.in/product/14614","Fostamatinib Nitroso Impurity 3")</f>
        <v>Fostamatinib Nitroso Impurity 3</v>
      </c>
      <c r="C425" s="6" t="str">
        <f>HYPERLINK("https://www.kmpharma.in/product/14614","KMF113006")</f>
        <v>KMF113006</v>
      </c>
      <c r="D425" s="6" t="s">
        <v>7</v>
      </c>
      <c r="E425" s="7" t="s">
        <v>321</v>
      </c>
    </row>
    <row r="426" spans="1:5" x14ac:dyDescent="0.25">
      <c r="A426" s="3">
        <v>425</v>
      </c>
      <c r="B426" s="3" t="str">
        <f>HYPERLINK("https://www.kmpharma.in/product/14632","Frovatriptan Nitroso Impurity 1")</f>
        <v>Frovatriptan Nitroso Impurity 1</v>
      </c>
      <c r="C426" s="3" t="str">
        <f>HYPERLINK("https://www.kmpharma.in/product/14632","KMF115008")</f>
        <v>KMF115008</v>
      </c>
      <c r="D426" s="3" t="s">
        <v>7</v>
      </c>
      <c r="E426" s="5" t="s">
        <v>321</v>
      </c>
    </row>
    <row r="427" spans="1:5" x14ac:dyDescent="0.25">
      <c r="A427" s="6">
        <v>426</v>
      </c>
      <c r="B427" s="6" t="str">
        <f>HYPERLINK("https://www.kmpharma.in/product/14629","Frovatriptan Nitroso Impurity 1 D3")</f>
        <v>Frovatriptan Nitroso Impurity 1 D3</v>
      </c>
      <c r="C427" s="6" t="str">
        <f>HYPERLINK("https://www.kmpharma.in/product/14629","KMF115009")</f>
        <v>KMF115009</v>
      </c>
      <c r="D427" s="6" t="s">
        <v>7</v>
      </c>
      <c r="E427" s="6" t="s">
        <v>16</v>
      </c>
    </row>
    <row r="428" spans="1:5" x14ac:dyDescent="0.25">
      <c r="A428" s="3">
        <v>427</v>
      </c>
      <c r="B428" s="3" t="str">
        <f>HYPERLINK("https://www.kmpharma.in/product/14631","Frovatriptan Nitroso Impurity 2")</f>
        <v>Frovatriptan Nitroso Impurity 2</v>
      </c>
      <c r="C428" s="3" t="str">
        <f>HYPERLINK("https://www.kmpharma.in/product/14631","KMF115010")</f>
        <v>KMF115010</v>
      </c>
      <c r="D428" s="3" t="s">
        <v>7</v>
      </c>
      <c r="E428" s="3" t="s">
        <v>16</v>
      </c>
    </row>
    <row r="429" spans="1:5" x14ac:dyDescent="0.25">
      <c r="A429" s="6">
        <v>428</v>
      </c>
      <c r="B429" s="6" t="str">
        <f>HYPERLINK("https://www.kmpharma.in/product/14630","Frovatriptan Nitroso Impurity 2 D3")</f>
        <v>Frovatriptan Nitroso Impurity 2 D3</v>
      </c>
      <c r="C429" s="6" t="str">
        <f>HYPERLINK("https://www.kmpharma.in/product/14630","KMF115011")</f>
        <v>KMF115011</v>
      </c>
      <c r="D429" s="6" t="s">
        <v>7</v>
      </c>
      <c r="E429" s="7" t="s">
        <v>321</v>
      </c>
    </row>
    <row r="430" spans="1:5" x14ac:dyDescent="0.25">
      <c r="A430" s="3">
        <v>429</v>
      </c>
      <c r="B430" s="3" t="str">
        <f>HYPERLINK("https://www.kmpharma.in/product/14863","Gadoteridol Nitroso Impurity 1")</f>
        <v>Gadoteridol Nitroso Impurity 1</v>
      </c>
      <c r="C430" s="3" t="str">
        <f>HYPERLINK("https://www.kmpharma.in/product/14863","KMG015009")</f>
        <v>KMG015009</v>
      </c>
      <c r="D430" s="3" t="s">
        <v>65</v>
      </c>
      <c r="E430" s="5" t="s">
        <v>321</v>
      </c>
    </row>
    <row r="431" spans="1:5" x14ac:dyDescent="0.25">
      <c r="A431" s="6">
        <v>430</v>
      </c>
      <c r="B431" s="6" t="str">
        <f>HYPERLINK("https://www.kmpharma.in/product/14996","Gefitinib Nitroso Impurity")</f>
        <v>Gefitinib Nitroso Impurity</v>
      </c>
      <c r="C431" s="6" t="str">
        <f>HYPERLINK("https://www.kmpharma.in/product/14996","KMG021045")</f>
        <v>KMG021045</v>
      </c>
      <c r="D431" s="6" t="s">
        <v>7</v>
      </c>
      <c r="E431" s="7" t="s">
        <v>323</v>
      </c>
    </row>
    <row r="432" spans="1:5" x14ac:dyDescent="0.25">
      <c r="A432" s="3">
        <v>431</v>
      </c>
      <c r="B432" s="3" t="str">
        <f>HYPERLINK("https://www.kmpharma.in/product/15102","Gepirone Nitroso Impurity 1")</f>
        <v>Gepirone Nitroso Impurity 1</v>
      </c>
      <c r="C432" s="3" t="str">
        <f>HYPERLINK("https://www.kmpharma.in/product/15102","KMG029011")</f>
        <v>KMG029011</v>
      </c>
      <c r="D432" s="3" t="s">
        <v>7</v>
      </c>
      <c r="E432" s="5" t="s">
        <v>321</v>
      </c>
    </row>
    <row r="433" spans="1:5" x14ac:dyDescent="0.25">
      <c r="A433" s="6">
        <v>432</v>
      </c>
      <c r="B433" s="6" t="str">
        <f>HYPERLINK("https://www.kmpharma.in/product/15131","Gilteritinib Nitroso Impurity 1")</f>
        <v>Gilteritinib Nitroso Impurity 1</v>
      </c>
      <c r="C433" s="6" t="str">
        <f>HYPERLINK("https://www.kmpharma.in/product/15131","KMG031011")</f>
        <v>KMG031011</v>
      </c>
      <c r="D433" s="6" t="s">
        <v>7</v>
      </c>
      <c r="E433" s="6" t="s">
        <v>16</v>
      </c>
    </row>
    <row r="434" spans="1:5" x14ac:dyDescent="0.25">
      <c r="A434" s="3">
        <v>433</v>
      </c>
      <c r="B434" s="3" t="str">
        <f>HYPERLINK("https://www.kmpharma.in/product/15132","Gilteritinib Nitroso Impurity 2")</f>
        <v>Gilteritinib Nitroso Impurity 2</v>
      </c>
      <c r="C434" s="3" t="str">
        <f>HYPERLINK("https://www.kmpharma.in/product/15132","KMG031012")</f>
        <v>KMG031012</v>
      </c>
      <c r="D434" s="3" t="s">
        <v>7</v>
      </c>
      <c r="E434" s="3" t="s">
        <v>16</v>
      </c>
    </row>
    <row r="435" spans="1:5" x14ac:dyDescent="0.25">
      <c r="A435" s="6">
        <v>434</v>
      </c>
      <c r="B435" s="6" t="str">
        <f>HYPERLINK("https://www.kmpharma.in/product/15133","Gilteritinib Nitroso Impurity 3")</f>
        <v>Gilteritinib Nitroso Impurity 3</v>
      </c>
      <c r="C435" s="6" t="str">
        <f>HYPERLINK("https://www.kmpharma.in/product/15133","KMG031013")</f>
        <v>KMG031013</v>
      </c>
      <c r="D435" s="6" t="s">
        <v>7</v>
      </c>
      <c r="E435" s="7" t="s">
        <v>321</v>
      </c>
    </row>
    <row r="436" spans="1:5" x14ac:dyDescent="0.25">
      <c r="A436" s="3">
        <v>435</v>
      </c>
      <c r="B436" s="3" t="str">
        <f>HYPERLINK("https://www.kmpharma.in/product/15156","Glasdegib Nitroso Impurity")</f>
        <v>Glasdegib Nitroso Impurity</v>
      </c>
      <c r="C436" s="3" t="str">
        <f>HYPERLINK("https://www.kmpharma.in/product/15156","KMG038003")</f>
        <v>KMG038003</v>
      </c>
      <c r="D436" s="3" t="s">
        <v>7</v>
      </c>
      <c r="E436" s="5" t="s">
        <v>321</v>
      </c>
    </row>
    <row r="437" spans="1:5" x14ac:dyDescent="0.25">
      <c r="A437" s="6">
        <v>436</v>
      </c>
      <c r="B437" s="6" t="str">
        <f>HYPERLINK("https://www.kmpharma.in/product/15253","Glipizide Nitroso Impurity 1")</f>
        <v>Glipizide Nitroso Impurity 1</v>
      </c>
      <c r="C437" s="6" t="str">
        <f>HYPERLINK("https://www.kmpharma.in/product/15253","KMG043026")</f>
        <v>KMG043026</v>
      </c>
      <c r="D437" s="6" t="s">
        <v>66</v>
      </c>
      <c r="E437" s="7" t="s">
        <v>321</v>
      </c>
    </row>
    <row r="438" spans="1:5" x14ac:dyDescent="0.25">
      <c r="A438" s="3">
        <v>437</v>
      </c>
      <c r="B438" s="3" t="str">
        <f>HYPERLINK("https://www.kmpharma.in/product/15252","Glipizide Nitroso Impurity 2")</f>
        <v>Glipizide Nitroso Impurity 2</v>
      </c>
      <c r="C438" s="3" t="str">
        <f>HYPERLINK("https://www.kmpharma.in/product/15252","KMG043027")</f>
        <v>KMG043027</v>
      </c>
      <c r="D438" s="3" t="s">
        <v>7</v>
      </c>
      <c r="E438" s="3" t="s">
        <v>16</v>
      </c>
    </row>
    <row r="439" spans="1:5" x14ac:dyDescent="0.25">
      <c r="A439" s="6">
        <v>438</v>
      </c>
      <c r="B439" s="6" t="str">
        <f>HYPERLINK("https://www.kmpharma.in/product/15356","Glycopyrrolate Nitroso Impurity 1")</f>
        <v>Glycopyrrolate Nitroso Impurity 1</v>
      </c>
      <c r="C439" s="6" t="str">
        <f>HYPERLINK("https://www.kmpharma.in/product/15356","KMG005016")</f>
        <v>KMG005016</v>
      </c>
      <c r="D439" s="6" t="s">
        <v>7</v>
      </c>
      <c r="E439" s="6" t="s">
        <v>16</v>
      </c>
    </row>
    <row r="440" spans="1:5" x14ac:dyDescent="0.25">
      <c r="A440" s="3">
        <v>439</v>
      </c>
      <c r="B440" s="3" t="str">
        <f>HYPERLINK("https://www.kmpharma.in/product/15429","Granisetron Nitroso Impurity 1")</f>
        <v>Granisetron Nitroso Impurity 1</v>
      </c>
      <c r="C440" s="3" t="str">
        <f>HYPERLINK("https://www.kmpharma.in/product/15429","KMG058017")</f>
        <v>KMG058017</v>
      </c>
      <c r="D440" s="3" t="s">
        <v>67</v>
      </c>
      <c r="E440" s="3" t="s">
        <v>16</v>
      </c>
    </row>
    <row r="441" spans="1:5" x14ac:dyDescent="0.25">
      <c r="A441" s="6">
        <v>440</v>
      </c>
      <c r="B441" s="6" t="str">
        <f>HYPERLINK("https://www.kmpharma.in/product/15430","Granisetron Nitroso Impurity 2")</f>
        <v>Granisetron Nitroso Impurity 2</v>
      </c>
      <c r="C441" s="6" t="str">
        <f>HYPERLINK("https://www.kmpharma.in/product/15430","KMG058018")</f>
        <v>KMG058018</v>
      </c>
      <c r="D441" s="6" t="s">
        <v>7</v>
      </c>
      <c r="E441" s="6" t="s">
        <v>16</v>
      </c>
    </row>
    <row r="442" spans="1:5" x14ac:dyDescent="0.25">
      <c r="A442" s="3">
        <v>441</v>
      </c>
      <c r="B442" s="3" t="str">
        <f>HYPERLINK("https://www.kmpharma.in/product/15476","Guanfacine Nitroso Impurity 1")</f>
        <v>Guanfacine Nitroso Impurity 1</v>
      </c>
      <c r="C442" s="3" t="str">
        <f>HYPERLINK("https://www.kmpharma.in/product/15476","KMG063022")</f>
        <v>KMG063022</v>
      </c>
      <c r="D442" s="3" t="s">
        <v>7</v>
      </c>
      <c r="E442" s="3" t="s">
        <v>16</v>
      </c>
    </row>
    <row r="443" spans="1:5" x14ac:dyDescent="0.25">
      <c r="A443" s="6">
        <v>442</v>
      </c>
      <c r="B443" s="6" t="str">
        <f>HYPERLINK("https://www.kmpharma.in/product/15575","Haloperidol Nitroso Impurity 1")</f>
        <v>Haloperidol Nitroso Impurity 1</v>
      </c>
      <c r="C443" s="6" t="str">
        <f>HYPERLINK("https://www.kmpharma.in/product/15575","KMH012038")</f>
        <v>KMH012038</v>
      </c>
      <c r="D443" s="6" t="s">
        <v>68</v>
      </c>
      <c r="E443" s="7" t="s">
        <v>323</v>
      </c>
    </row>
    <row r="444" spans="1:5" x14ac:dyDescent="0.25">
      <c r="A444" s="3">
        <v>443</v>
      </c>
      <c r="B444" s="3" t="str">
        <f>HYPERLINK("https://www.kmpharma.in/product/22992","Hexahydro-1,3,5-trinitroso-1,3,5-triazine")</f>
        <v>Hexahydro-1,3,5-trinitroso-1,3,5-triazine</v>
      </c>
      <c r="C444" s="3" t="str">
        <f>HYPERLINK("https://www.kmpharma.in/product/22992","KMN084033")</f>
        <v>KMN084033</v>
      </c>
      <c r="D444" s="3" t="s">
        <v>69</v>
      </c>
      <c r="E444" s="3" t="s">
        <v>16</v>
      </c>
    </row>
    <row r="445" spans="1:5" x14ac:dyDescent="0.25">
      <c r="A445" s="6">
        <v>444</v>
      </c>
      <c r="B445" s="6" t="str">
        <f>HYPERLINK("https://www.kmpharma.in/product/15684","Hydralazine Nitroso Impurity")</f>
        <v>Hydralazine Nitroso Impurity</v>
      </c>
      <c r="C445" s="6" t="str">
        <f>HYPERLINK("https://www.kmpharma.in/product/15684","KMH031023")</f>
        <v>KMH031023</v>
      </c>
      <c r="D445" s="6" t="s">
        <v>7</v>
      </c>
      <c r="E445" s="6" t="s">
        <v>16</v>
      </c>
    </row>
    <row r="446" spans="1:5" x14ac:dyDescent="0.25">
      <c r="A446" s="3">
        <v>445</v>
      </c>
      <c r="B446" s="3" t="str">
        <f>HYPERLINK("https://www.kmpharma.in/product/15732","Hydrochlorothiazide Nitroso Impurity 1")</f>
        <v>Hydrochlorothiazide Nitroso Impurity 1</v>
      </c>
      <c r="C446" s="3" t="str">
        <f>HYPERLINK("https://www.kmpharma.in/product/15732","KMH003046")</f>
        <v>KMH003046</v>
      </c>
      <c r="D446" s="3" t="s">
        <v>7</v>
      </c>
      <c r="E446" s="3" t="s">
        <v>16</v>
      </c>
    </row>
    <row r="447" spans="1:5" x14ac:dyDescent="0.25">
      <c r="A447" s="6">
        <v>446</v>
      </c>
      <c r="B447" s="6" t="str">
        <f>HYPERLINK("https://www.kmpharma.in/product/16253","Idelalisib Nitroso Impurity 1")</f>
        <v>Idelalisib Nitroso Impurity 1</v>
      </c>
      <c r="C447" s="6" t="str">
        <f>HYPERLINK("https://www.kmpharma.in/product/16253","KMI023009")</f>
        <v>KMI023009</v>
      </c>
      <c r="D447" s="6" t="s">
        <v>7</v>
      </c>
      <c r="E447" s="6" t="s">
        <v>16</v>
      </c>
    </row>
    <row r="448" spans="1:5" x14ac:dyDescent="0.25">
      <c r="A448" s="3">
        <v>447</v>
      </c>
      <c r="B448" s="3" t="str">
        <f>HYPERLINK("https://www.kmpharma.in/product/16254","Idelalisib Nitroso Impurity 2")</f>
        <v>Idelalisib Nitroso Impurity 2</v>
      </c>
      <c r="C448" s="3" t="str">
        <f>HYPERLINK("https://www.kmpharma.in/product/16254","KMI023010")</f>
        <v>KMI023010</v>
      </c>
      <c r="D448" s="3" t="s">
        <v>7</v>
      </c>
      <c r="E448" s="5" t="s">
        <v>321</v>
      </c>
    </row>
    <row r="449" spans="1:5" x14ac:dyDescent="0.25">
      <c r="A449" s="6">
        <v>448</v>
      </c>
      <c r="B449" s="6" t="str">
        <f>HYPERLINK("https://www.kmpharma.in/product/16255","Idelalisib Nitroso Impurity 3")</f>
        <v>Idelalisib Nitroso Impurity 3</v>
      </c>
      <c r="C449" s="6" t="str">
        <f>HYPERLINK("https://www.kmpharma.in/product/16255","KMI023011")</f>
        <v>KMI023011</v>
      </c>
      <c r="D449" s="6" t="s">
        <v>7</v>
      </c>
      <c r="E449" s="7" t="s">
        <v>321</v>
      </c>
    </row>
    <row r="450" spans="1:5" x14ac:dyDescent="0.25">
      <c r="A450" s="3">
        <v>449</v>
      </c>
      <c r="B450" s="3" t="str">
        <f>HYPERLINK("https://www.kmpharma.in/product/16301","Ilaprazole Nitroso Impurity")</f>
        <v>Ilaprazole Nitroso Impurity</v>
      </c>
      <c r="C450" s="3" t="str">
        <f>HYPERLINK("https://www.kmpharma.in/product/16301","KMI026020")</f>
        <v>KMI026020</v>
      </c>
      <c r="D450" s="3" t="s">
        <v>7</v>
      </c>
      <c r="E450" s="5" t="s">
        <v>323</v>
      </c>
    </row>
    <row r="451" spans="1:5" x14ac:dyDescent="0.25">
      <c r="A451" s="6">
        <v>450</v>
      </c>
      <c r="B451" s="6" t="str">
        <f>HYPERLINK("https://www.kmpharma.in/product/16396","Imatinib Nitroso Impurity 1")</f>
        <v>Imatinib Nitroso Impurity 1</v>
      </c>
      <c r="C451" s="6" t="str">
        <f>HYPERLINK("https://www.kmpharma.in/product/16396","KMI004052")</f>
        <v>KMI004052</v>
      </c>
      <c r="D451" s="6" t="s">
        <v>7</v>
      </c>
      <c r="E451" s="7" t="s">
        <v>321</v>
      </c>
    </row>
    <row r="452" spans="1:5" x14ac:dyDescent="0.25">
      <c r="A452" s="3">
        <v>451</v>
      </c>
      <c r="B452" s="3" t="str">
        <f>HYPERLINK("https://www.kmpharma.in/product/16397","Imatinib Nitroso Impurity 2")</f>
        <v>Imatinib Nitroso Impurity 2</v>
      </c>
      <c r="C452" s="3" t="str">
        <f>HYPERLINK("https://www.kmpharma.in/product/16397","KMI004053")</f>
        <v>KMI004053</v>
      </c>
      <c r="D452" s="3" t="s">
        <v>7</v>
      </c>
      <c r="E452" s="3" t="s">
        <v>16</v>
      </c>
    </row>
    <row r="453" spans="1:5" x14ac:dyDescent="0.25">
      <c r="A453" s="6">
        <v>452</v>
      </c>
      <c r="B453" s="6" t="str">
        <f>HYPERLINK("https://www.kmpharma.in/product/16414","Imidocarb Nitroso Impurity 1")</f>
        <v>Imidocarb Nitroso Impurity 1</v>
      </c>
      <c r="C453" s="6" t="str">
        <f>HYPERLINK("https://www.kmpharma.in/product/16414","KMI031003")</f>
        <v>KMI031003</v>
      </c>
      <c r="D453" s="6" t="s">
        <v>7</v>
      </c>
      <c r="E453" s="7" t="s">
        <v>323</v>
      </c>
    </row>
    <row r="454" spans="1:5" x14ac:dyDescent="0.25">
      <c r="A454" s="3">
        <v>453</v>
      </c>
      <c r="B454" s="3" t="str">
        <f>HYPERLINK("https://www.kmpharma.in/product/16415","Imidocarb Nitroso Impurity 2")</f>
        <v>Imidocarb Nitroso Impurity 2</v>
      </c>
      <c r="C454" s="3" t="str">
        <f>HYPERLINK("https://www.kmpharma.in/product/16415","KMI031004")</f>
        <v>KMI031004</v>
      </c>
      <c r="D454" s="3" t="s">
        <v>7</v>
      </c>
      <c r="E454" s="5" t="s">
        <v>321</v>
      </c>
    </row>
    <row r="455" spans="1:5" x14ac:dyDescent="0.25">
      <c r="A455" s="6">
        <v>454</v>
      </c>
      <c r="B455" s="6" t="str">
        <f>HYPERLINK("https://www.kmpharma.in/product/16452","Imiquimod Nitroso Impurity 1")</f>
        <v>Imiquimod Nitroso Impurity 1</v>
      </c>
      <c r="C455" s="6" t="str">
        <f>HYPERLINK("https://www.kmpharma.in/product/16452","KMI034011")</f>
        <v>KMI034011</v>
      </c>
      <c r="D455" s="6" t="s">
        <v>7</v>
      </c>
      <c r="E455" s="7" t="s">
        <v>323</v>
      </c>
    </row>
    <row r="456" spans="1:5" x14ac:dyDescent="0.25">
      <c r="A456" s="3">
        <v>455</v>
      </c>
      <c r="B456" s="3" t="str">
        <f>HYPERLINK("https://www.kmpharma.in/product/16453","Imiquimod Nitroso Impurity 2")</f>
        <v>Imiquimod Nitroso Impurity 2</v>
      </c>
      <c r="C456" s="3" t="str">
        <f>HYPERLINK("https://www.kmpharma.in/product/16453","KMI034012")</f>
        <v>KMI034012</v>
      </c>
      <c r="D456" s="3" t="s">
        <v>7</v>
      </c>
      <c r="E456" s="5" t="s">
        <v>321</v>
      </c>
    </row>
    <row r="457" spans="1:5" x14ac:dyDescent="0.25">
      <c r="A457" s="6">
        <v>456</v>
      </c>
      <c r="B457" s="6" t="str">
        <f>HYPERLINK("https://www.kmpharma.in/product/36613","Indacaterol Nitroso Impurity")</f>
        <v>Indacaterol Nitroso Impurity</v>
      </c>
      <c r="C457" s="6" t="str">
        <f>HYPERLINK("https://www.kmpharma.in/product/36613","KMI035042")</f>
        <v>KMI035042</v>
      </c>
      <c r="D457" s="6" t="s">
        <v>7</v>
      </c>
      <c r="E457" s="7" t="s">
        <v>321</v>
      </c>
    </row>
    <row r="458" spans="1:5" x14ac:dyDescent="0.25">
      <c r="A458" s="3">
        <v>457</v>
      </c>
      <c r="B458" s="3" t="str">
        <f>HYPERLINK("https://www.kmpharma.in/product/36614","Indacaterol Nitroso Impurity 1")</f>
        <v>Indacaterol Nitroso Impurity 1</v>
      </c>
      <c r="C458" s="3" t="str">
        <f>HYPERLINK("https://www.kmpharma.in/product/36614","KMI035043")</f>
        <v>KMI035043</v>
      </c>
      <c r="D458" s="3" t="s">
        <v>7</v>
      </c>
      <c r="E458" s="5" t="s">
        <v>321</v>
      </c>
    </row>
    <row r="459" spans="1:5" x14ac:dyDescent="0.25">
      <c r="A459" s="6">
        <v>458</v>
      </c>
      <c r="B459" s="6" t="str">
        <f>HYPERLINK("https://www.kmpharma.in/product/36615","Indacaterol Nitroso Impurity 2")</f>
        <v>Indacaterol Nitroso Impurity 2</v>
      </c>
      <c r="C459" s="6" t="str">
        <f>HYPERLINK("https://www.kmpharma.in/product/36615","KMI035044")</f>
        <v>KMI035044</v>
      </c>
      <c r="D459" s="6" t="s">
        <v>7</v>
      </c>
      <c r="E459" s="7" t="s">
        <v>321</v>
      </c>
    </row>
    <row r="460" spans="1:5" x14ac:dyDescent="0.25">
      <c r="A460" s="3">
        <v>459</v>
      </c>
      <c r="B460" s="3" t="str">
        <f>HYPERLINK("https://www.kmpharma.in/product/16483","Indapamide Nitroso Impurity 1")</f>
        <v>Indapamide Nitroso Impurity 1</v>
      </c>
      <c r="C460" s="3" t="str">
        <f>HYPERLINK("https://www.kmpharma.in/product/16483","KMI036029")</f>
        <v>KMI036029</v>
      </c>
      <c r="D460" s="3" t="s">
        <v>7</v>
      </c>
      <c r="E460" s="5" t="s">
        <v>321</v>
      </c>
    </row>
    <row r="461" spans="1:5" x14ac:dyDescent="0.25">
      <c r="A461" s="6">
        <v>460</v>
      </c>
      <c r="B461" s="6" t="str">
        <f>HYPERLINK("https://www.kmpharma.in/product/16488","Indigo Carmine Nitroso Impurity 1")</f>
        <v>Indigo Carmine Nitroso Impurity 1</v>
      </c>
      <c r="C461" s="6" t="str">
        <f>HYPERLINK("https://www.kmpharma.in/product/16488","KMI037004")</f>
        <v>KMI037004</v>
      </c>
      <c r="D461" s="6" t="s">
        <v>7</v>
      </c>
      <c r="E461" s="7" t="s">
        <v>323</v>
      </c>
    </row>
    <row r="462" spans="1:5" x14ac:dyDescent="0.25">
      <c r="A462" s="3">
        <v>461</v>
      </c>
      <c r="B462" s="3" t="str">
        <f>HYPERLINK("https://www.kmpharma.in/product/16489","Indigo Carmine Nitroso Impurity 2")</f>
        <v>Indigo Carmine Nitroso Impurity 2</v>
      </c>
      <c r="C462" s="3" t="str">
        <f>HYPERLINK("https://www.kmpharma.in/product/16489","KMI037005")</f>
        <v>KMI037005</v>
      </c>
      <c r="D462" s="3" t="s">
        <v>7</v>
      </c>
      <c r="E462" s="5" t="s">
        <v>321</v>
      </c>
    </row>
    <row r="463" spans="1:5" x14ac:dyDescent="0.25">
      <c r="A463" s="6">
        <v>462</v>
      </c>
      <c r="B463" s="6" t="str">
        <f>HYPERLINK("https://www.kmpharma.in/product/16529","Indomethacin Nitroso Impurity 1")</f>
        <v>Indomethacin Nitroso Impurity 1</v>
      </c>
      <c r="C463" s="6" t="str">
        <f>HYPERLINK("https://www.kmpharma.in/product/16529","KMI008026")</f>
        <v>KMI008026</v>
      </c>
      <c r="D463" s="6" t="s">
        <v>7</v>
      </c>
      <c r="E463" s="7" t="s">
        <v>321</v>
      </c>
    </row>
    <row r="464" spans="1:5" x14ac:dyDescent="0.25">
      <c r="A464" s="3">
        <v>463</v>
      </c>
      <c r="B464" s="3" t="str">
        <f>HYPERLINK("https://www.kmpharma.in/product/16528","Indomethacin Nitroso Impurity 3")</f>
        <v>Indomethacin Nitroso Impurity 3</v>
      </c>
      <c r="C464" s="3" t="str">
        <f>HYPERLINK("https://www.kmpharma.in/product/16528","KMI008027")</f>
        <v>KMI008027</v>
      </c>
      <c r="D464" s="3" t="s">
        <v>7</v>
      </c>
      <c r="E464" s="5" t="s">
        <v>321</v>
      </c>
    </row>
    <row r="465" spans="1:5" x14ac:dyDescent="0.25">
      <c r="A465" s="6">
        <v>464</v>
      </c>
      <c r="B465" s="6" t="str">
        <f>HYPERLINK("https://www.kmpharma.in/product/16530","Indomethacin Nitroso Impurity 4")</f>
        <v>Indomethacin Nitroso Impurity 4</v>
      </c>
      <c r="C465" s="6" t="str">
        <f>HYPERLINK("https://www.kmpharma.in/product/16530","KMI008028")</f>
        <v>KMI008028</v>
      </c>
      <c r="D465" s="6" t="s">
        <v>7</v>
      </c>
      <c r="E465" s="7" t="s">
        <v>323</v>
      </c>
    </row>
    <row r="466" spans="1:5" x14ac:dyDescent="0.25">
      <c r="A466" s="3">
        <v>465</v>
      </c>
      <c r="B466" s="3" t="str">
        <f>HYPERLINK("https://www.kmpharma.in/product/16531","Indomethacin Nitroso Impurity 5")</f>
        <v>Indomethacin Nitroso Impurity 5</v>
      </c>
      <c r="C466" s="3" t="str">
        <f>HYPERLINK("https://www.kmpharma.in/product/16531","KMI008029")</f>
        <v>KMI008029</v>
      </c>
      <c r="D466" s="3" t="s">
        <v>7</v>
      </c>
      <c r="E466" s="5" t="s">
        <v>321</v>
      </c>
    </row>
    <row r="467" spans="1:5" x14ac:dyDescent="0.25">
      <c r="A467" s="6">
        <v>466</v>
      </c>
      <c r="B467" s="6" t="str">
        <f>HYPERLINK("https://www.kmpharma.in/product/16532","Indomethacin Nitroso Impurity 6")</f>
        <v>Indomethacin Nitroso Impurity 6</v>
      </c>
      <c r="C467" s="6" t="str">
        <f>HYPERLINK("https://www.kmpharma.in/product/16532","KMI008030")</f>
        <v>KMI008030</v>
      </c>
      <c r="D467" s="6" t="s">
        <v>7</v>
      </c>
      <c r="E467" s="7" t="s">
        <v>323</v>
      </c>
    </row>
    <row r="468" spans="1:5" x14ac:dyDescent="0.25">
      <c r="A468" s="3">
        <v>467</v>
      </c>
      <c r="B468" s="3" t="str">
        <f>HYPERLINK("https://www.kmpharma.in/product/16693","Irbesartan Nitroso Impurity 1")</f>
        <v>Irbesartan Nitroso Impurity 1</v>
      </c>
      <c r="C468" s="3" t="str">
        <f>HYPERLINK("https://www.kmpharma.in/product/16693","KMI001042")</f>
        <v>KMI001042</v>
      </c>
      <c r="D468" s="3" t="s">
        <v>7</v>
      </c>
      <c r="E468" s="5" t="s">
        <v>322</v>
      </c>
    </row>
    <row r="469" spans="1:5" x14ac:dyDescent="0.25">
      <c r="A469" s="6">
        <v>468</v>
      </c>
      <c r="B469" s="6" t="str">
        <f>HYPERLINK("https://www.kmpharma.in/product/16745","Irinotecan Nitroso Impurity 1")</f>
        <v>Irinotecan Nitroso Impurity 1</v>
      </c>
      <c r="C469" s="6" t="str">
        <f>HYPERLINK("https://www.kmpharma.in/product/16745","KMI057034")</f>
        <v>KMI057034</v>
      </c>
      <c r="D469" s="6" t="s">
        <v>70</v>
      </c>
      <c r="E469" s="7" t="s">
        <v>322</v>
      </c>
    </row>
    <row r="470" spans="1:5" x14ac:dyDescent="0.25">
      <c r="A470" s="3">
        <v>469</v>
      </c>
      <c r="B470" s="3" t="str">
        <f>HYPERLINK("https://www.kmpharma.in/product/16814","Isavuconazole Nitroso Impurity 1")</f>
        <v>Isavuconazole Nitroso Impurity 1</v>
      </c>
      <c r="C470" s="3" t="str">
        <f>HYPERLINK("https://www.kmpharma.in/product/16814","KMI058066")</f>
        <v>KMI058066</v>
      </c>
      <c r="D470" s="3" t="s">
        <v>7</v>
      </c>
      <c r="E470" s="3" t="s">
        <v>16</v>
      </c>
    </row>
    <row r="471" spans="1:5" x14ac:dyDescent="0.25">
      <c r="A471" s="6">
        <v>470</v>
      </c>
      <c r="B471" s="6" t="str">
        <f>HYPERLINK("https://www.kmpharma.in/product/16856","Isometheptane Nitroso Impurity")</f>
        <v>Isometheptane Nitroso Impurity</v>
      </c>
      <c r="C471" s="6" t="str">
        <f>HYPERLINK("https://www.kmpharma.in/product/16856","KMI066003")</f>
        <v>KMI066003</v>
      </c>
      <c r="D471" s="6" t="s">
        <v>7</v>
      </c>
      <c r="E471" s="6" t="s">
        <v>16</v>
      </c>
    </row>
    <row r="472" spans="1:5" x14ac:dyDescent="0.25">
      <c r="A472" s="3">
        <v>471</v>
      </c>
      <c r="B472" s="3" t="str">
        <f>HYPERLINK("https://www.kmpharma.in/product/16966","Isoxsuprine Nitroso Impurity")</f>
        <v>Isoxsuprine Nitroso Impurity</v>
      </c>
      <c r="C472" s="3" t="str">
        <f>HYPERLINK("https://www.kmpharma.in/product/16966","KMI075004")</f>
        <v>KMI075004</v>
      </c>
      <c r="D472" s="3" t="s">
        <v>7</v>
      </c>
      <c r="E472" s="3" t="s">
        <v>16</v>
      </c>
    </row>
    <row r="473" spans="1:5" x14ac:dyDescent="0.25">
      <c r="A473" s="6">
        <v>472</v>
      </c>
      <c r="B473" s="6" t="str">
        <f>HYPERLINK("https://www.kmpharma.in/product/17119","Ivabradine Nitroso Impurity 1")</f>
        <v>Ivabradine Nitroso Impurity 1</v>
      </c>
      <c r="C473" s="6" t="str">
        <f>HYPERLINK("https://www.kmpharma.in/product/17119","KMI007076")</f>
        <v>KMI007076</v>
      </c>
      <c r="D473" s="6" t="s">
        <v>7</v>
      </c>
      <c r="E473" s="7" t="s">
        <v>321</v>
      </c>
    </row>
    <row r="474" spans="1:5" x14ac:dyDescent="0.25">
      <c r="A474" s="3">
        <v>473</v>
      </c>
      <c r="B474" s="3" t="str">
        <f>HYPERLINK("https://www.kmpharma.in/product/36671","Ivacaftor Nitroso Impurity")</f>
        <v>Ivacaftor Nitroso Impurity</v>
      </c>
      <c r="C474" s="3" t="str">
        <f>HYPERLINK("https://www.kmpharma.in/product/36671","KMI006032")</f>
        <v>KMI006032</v>
      </c>
      <c r="D474" s="3" t="s">
        <v>7</v>
      </c>
      <c r="E474" s="5" t="s">
        <v>321</v>
      </c>
    </row>
    <row r="475" spans="1:5" x14ac:dyDescent="0.25">
      <c r="A475" s="6">
        <v>474</v>
      </c>
      <c r="B475" s="6" t="str">
        <f>HYPERLINK("https://www.kmpharma.in/product/36672","Ivacaftor Nitroso Impurity 1")</f>
        <v>Ivacaftor Nitroso Impurity 1</v>
      </c>
      <c r="C475" s="6" t="str">
        <f>HYPERLINK("https://www.kmpharma.in/product/36672","KMI006033")</f>
        <v>KMI006033</v>
      </c>
      <c r="D475" s="6" t="s">
        <v>7</v>
      </c>
      <c r="E475" s="7" t="s">
        <v>321</v>
      </c>
    </row>
    <row r="476" spans="1:5" x14ac:dyDescent="0.25">
      <c r="A476" s="3">
        <v>475</v>
      </c>
      <c r="B476" s="3" t="str">
        <f>HYPERLINK("https://www.kmpharma.in/product/36673","Ivacaftor Nitroso Impurity 2")</f>
        <v>Ivacaftor Nitroso Impurity 2</v>
      </c>
      <c r="C476" s="3" t="str">
        <f>HYPERLINK("https://www.kmpharma.in/product/36673","KMI006034")</f>
        <v>KMI006034</v>
      </c>
      <c r="D476" s="3" t="s">
        <v>7</v>
      </c>
      <c r="E476" s="5" t="s">
        <v>321</v>
      </c>
    </row>
    <row r="477" spans="1:5" x14ac:dyDescent="0.25">
      <c r="A477" s="6">
        <v>476</v>
      </c>
      <c r="B477" s="6" t="str">
        <f>HYPERLINK("https://www.kmpharma.in/product/36674","Ivacaftor Nitroso Impurity 4")</f>
        <v>Ivacaftor Nitroso Impurity 4</v>
      </c>
      <c r="C477" s="6" t="str">
        <f>HYPERLINK("https://www.kmpharma.in/product/36674","KMI006035")</f>
        <v>KMI006035</v>
      </c>
      <c r="D477" s="6" t="s">
        <v>7</v>
      </c>
      <c r="E477" s="7" t="s">
        <v>321</v>
      </c>
    </row>
    <row r="478" spans="1:5" x14ac:dyDescent="0.25">
      <c r="A478" s="3">
        <v>477</v>
      </c>
      <c r="B478" s="3" t="str">
        <f>HYPERLINK("https://www.kmpharma.in/product/36670","Ivacaftor Nitroso Impurity 5")</f>
        <v>Ivacaftor Nitroso Impurity 5</v>
      </c>
      <c r="C478" s="3" t="str">
        <f>HYPERLINK("https://www.kmpharma.in/product/36670","KMI006036")</f>
        <v>KMI006036</v>
      </c>
      <c r="D478" s="3" t="s">
        <v>7</v>
      </c>
      <c r="E478" s="3" t="s">
        <v>16</v>
      </c>
    </row>
    <row r="479" spans="1:5" x14ac:dyDescent="0.25">
      <c r="A479" s="6">
        <v>478</v>
      </c>
      <c r="B479" s="6" t="str">
        <f>HYPERLINK("https://www.kmpharma.in/product/36675","Ivacaftor Nitroso Impurity 6")</f>
        <v>Ivacaftor Nitroso Impurity 6</v>
      </c>
      <c r="C479" s="6" t="str">
        <f>HYPERLINK("https://www.kmpharma.in/product/36675","KMI006037")</f>
        <v>KMI006037</v>
      </c>
      <c r="D479" s="6" t="s">
        <v>7</v>
      </c>
      <c r="E479" s="6" t="s">
        <v>16</v>
      </c>
    </row>
    <row r="480" spans="1:5" x14ac:dyDescent="0.25">
      <c r="A480" s="3">
        <v>479</v>
      </c>
      <c r="B480" s="3" t="str">
        <f>HYPERLINK("https://www.kmpharma.in/product/17292","Ketoconazole Nitroso EP Impurity D")</f>
        <v>Ketoconazole Nitroso EP Impurity D</v>
      </c>
      <c r="C480" s="3" t="str">
        <f>HYPERLINK("https://www.kmpharma.in/product/17292","KMK007044")</f>
        <v>KMK007044</v>
      </c>
      <c r="D480" s="3" t="s">
        <v>7</v>
      </c>
      <c r="E480" s="5" t="s">
        <v>321</v>
      </c>
    </row>
    <row r="481" spans="1:5" x14ac:dyDescent="0.25">
      <c r="A481" s="6">
        <v>480</v>
      </c>
      <c r="B481" s="6" t="str">
        <f>HYPERLINK("https://www.kmpharma.in/product/17381","Ketorolac 2-Benzoylpyrrole Nitroso Impurity")</f>
        <v>Ketorolac 2-Benzoylpyrrole Nitroso Impurity</v>
      </c>
      <c r="C481" s="6" t="str">
        <f>HYPERLINK("https://www.kmpharma.in/product/17381","KMK001013")</f>
        <v>KMK001013</v>
      </c>
      <c r="D481" s="6" t="s">
        <v>7</v>
      </c>
      <c r="E481" s="6" t="s">
        <v>16</v>
      </c>
    </row>
    <row r="482" spans="1:5" x14ac:dyDescent="0.25">
      <c r="A482" s="3">
        <v>481</v>
      </c>
      <c r="B482" s="3" t="str">
        <f>HYPERLINK("https://www.kmpharma.in/product/17382","Ketorolac Nitroso Impurity 1")</f>
        <v>Ketorolac Nitroso Impurity 1</v>
      </c>
      <c r="C482" s="3" t="str">
        <f>HYPERLINK("https://www.kmpharma.in/product/17382","KMK001042")</f>
        <v>KMK001042</v>
      </c>
      <c r="D482" s="3" t="s">
        <v>7</v>
      </c>
      <c r="E482" s="3" t="s">
        <v>16</v>
      </c>
    </row>
    <row r="483" spans="1:5" x14ac:dyDescent="0.25">
      <c r="A483" s="6">
        <v>482</v>
      </c>
      <c r="B483" s="6" t="str">
        <f>HYPERLINK("https://www.kmpharma.in/product/17380","Ketorolac Nitroso Impurity 2")</f>
        <v>Ketorolac Nitroso Impurity 2</v>
      </c>
      <c r="C483" s="6" t="str">
        <f>HYPERLINK("https://www.kmpharma.in/product/17380","KMK001043")</f>
        <v>KMK001043</v>
      </c>
      <c r="D483" s="6" t="s">
        <v>7</v>
      </c>
      <c r="E483" s="7" t="s">
        <v>324</v>
      </c>
    </row>
    <row r="484" spans="1:5" x14ac:dyDescent="0.25">
      <c r="A484" s="3">
        <v>483</v>
      </c>
      <c r="B484" s="3" t="str">
        <f>HYPERLINK("https://www.kmpharma.in/product/17383","Ketorolac Nitroso Impurity 3")</f>
        <v>Ketorolac Nitroso Impurity 3</v>
      </c>
      <c r="C484" s="3" t="str">
        <f>HYPERLINK("https://www.kmpharma.in/product/17383","KMK001044")</f>
        <v>KMK001044</v>
      </c>
      <c r="D484" s="3" t="s">
        <v>7</v>
      </c>
      <c r="E484" s="5" t="s">
        <v>323</v>
      </c>
    </row>
    <row r="485" spans="1:5" x14ac:dyDescent="0.25">
      <c r="A485" s="6">
        <v>484</v>
      </c>
      <c r="B485" s="6" t="str">
        <f>HYPERLINK("https://www.kmpharma.in/product/17456","Labetalol Nitroso EP Impurity F")</f>
        <v>Labetalol Nitroso EP Impurity F</v>
      </c>
      <c r="C485" s="6" t="str">
        <f>HYPERLINK("https://www.kmpharma.in/product/17456","KML004036")</f>
        <v>KML004036</v>
      </c>
      <c r="D485" s="6" t="s">
        <v>7</v>
      </c>
      <c r="E485" s="7" t="s">
        <v>321</v>
      </c>
    </row>
    <row r="486" spans="1:5" x14ac:dyDescent="0.25">
      <c r="A486" s="3">
        <v>485</v>
      </c>
      <c r="B486" s="3" t="str">
        <f>HYPERLINK("https://www.kmpharma.in/product/17511","Lacosamide Nitroso Impurity 1")</f>
        <v>Lacosamide Nitroso Impurity 1</v>
      </c>
      <c r="C486" s="3" t="str">
        <f>HYPERLINK("https://www.kmpharma.in/product/17511","KML008048")</f>
        <v>KML008048</v>
      </c>
      <c r="D486" s="3" t="s">
        <v>7</v>
      </c>
      <c r="E486" s="3" t="s">
        <v>16</v>
      </c>
    </row>
    <row r="487" spans="1:5" x14ac:dyDescent="0.25">
      <c r="A487" s="6">
        <v>486</v>
      </c>
      <c r="B487" s="6" t="str">
        <f>HYPERLINK("https://www.kmpharma.in/product/17512","Lacosamide Nitroso Impurity 2")</f>
        <v>Lacosamide Nitroso Impurity 2</v>
      </c>
      <c r="C487" s="6" t="str">
        <f>HYPERLINK("https://www.kmpharma.in/product/17512","KML008049")</f>
        <v>KML008049</v>
      </c>
      <c r="D487" s="6" t="s">
        <v>7</v>
      </c>
      <c r="E487" s="7" t="s">
        <v>321</v>
      </c>
    </row>
    <row r="488" spans="1:5" x14ac:dyDescent="0.25">
      <c r="A488" s="3">
        <v>487</v>
      </c>
      <c r="B488" s="3" t="str">
        <f>HYPERLINK("https://www.kmpharma.in/product/17747","Lapatinib Nitroso Impurity 1")</f>
        <v>Lapatinib Nitroso Impurity 1</v>
      </c>
      <c r="C488" s="3" t="str">
        <f>HYPERLINK("https://www.kmpharma.in/product/17747","KML041030")</f>
        <v>KML041030</v>
      </c>
      <c r="D488" s="3" t="s">
        <v>7</v>
      </c>
      <c r="E488" s="5" t="s">
        <v>321</v>
      </c>
    </row>
    <row r="489" spans="1:5" x14ac:dyDescent="0.25">
      <c r="A489" s="6">
        <v>488</v>
      </c>
      <c r="B489" s="6" t="str">
        <f>HYPERLINK("https://www.kmpharma.in/product/17746","Lapatinib Nitroso Impurity 2")</f>
        <v>Lapatinib Nitroso Impurity 2</v>
      </c>
      <c r="C489" s="6" t="str">
        <f>HYPERLINK("https://www.kmpharma.in/product/17746","KML041031")</f>
        <v>KML041031</v>
      </c>
      <c r="D489" s="6" t="s">
        <v>7</v>
      </c>
      <c r="E489" s="7" t="s">
        <v>322</v>
      </c>
    </row>
    <row r="490" spans="1:5" x14ac:dyDescent="0.25">
      <c r="A490" s="3">
        <v>489</v>
      </c>
      <c r="B490" s="3" t="str">
        <f>HYPERLINK("https://www.kmpharma.in/product/17745","Lapatinib Nitroso Impurity 3")</f>
        <v>Lapatinib Nitroso Impurity 3</v>
      </c>
      <c r="C490" s="3" t="str">
        <f>HYPERLINK("https://www.kmpharma.in/product/17745","KML041032")</f>
        <v>KML041032</v>
      </c>
      <c r="D490" s="3" t="s">
        <v>7</v>
      </c>
      <c r="E490" s="3" t="s">
        <v>16</v>
      </c>
    </row>
    <row r="491" spans="1:5" x14ac:dyDescent="0.25">
      <c r="A491" s="6">
        <v>490</v>
      </c>
      <c r="B491" s="6" t="str">
        <f>HYPERLINK("https://www.kmpharma.in/product/17765","Larotrectinib Nitroso Impurity 1")</f>
        <v>Larotrectinib Nitroso Impurity 1</v>
      </c>
      <c r="C491" s="6" t="str">
        <f>HYPERLINK("https://www.kmpharma.in/product/17765","KML042017")</f>
        <v>KML042017</v>
      </c>
      <c r="D491" s="6" t="s">
        <v>7</v>
      </c>
      <c r="E491" s="7" t="s">
        <v>321</v>
      </c>
    </row>
    <row r="492" spans="1:5" x14ac:dyDescent="0.25">
      <c r="A492" s="3">
        <v>491</v>
      </c>
      <c r="B492" s="3" t="str">
        <f>HYPERLINK("https://www.kmpharma.in/product/17855","Ledipasvir Nitroso Impurity 1")</f>
        <v>Ledipasvir Nitroso Impurity 1</v>
      </c>
      <c r="C492" s="3" t="str">
        <f>HYPERLINK("https://www.kmpharma.in/product/17855","KML047032")</f>
        <v>KML047032</v>
      </c>
      <c r="D492" s="3" t="s">
        <v>7</v>
      </c>
      <c r="E492" s="3" t="s">
        <v>16</v>
      </c>
    </row>
    <row r="493" spans="1:5" x14ac:dyDescent="0.25">
      <c r="A493" s="6">
        <v>492</v>
      </c>
      <c r="B493" s="6" t="str">
        <f>HYPERLINK("https://www.kmpharma.in/product/17856","Ledipasvir Nitroso Impurity 2")</f>
        <v>Ledipasvir Nitroso Impurity 2</v>
      </c>
      <c r="C493" s="6" t="str">
        <f>HYPERLINK("https://www.kmpharma.in/product/17856","KML047033")</f>
        <v>KML047033</v>
      </c>
      <c r="D493" s="6" t="s">
        <v>7</v>
      </c>
      <c r="E493" s="7" t="s">
        <v>323</v>
      </c>
    </row>
    <row r="494" spans="1:5" x14ac:dyDescent="0.25">
      <c r="A494" s="3">
        <v>493</v>
      </c>
      <c r="B494" s="3" t="str">
        <f>HYPERLINK("https://www.kmpharma.in/product/17857","Ledipasvir Nitroso Impurity 3")</f>
        <v>Ledipasvir Nitroso Impurity 3</v>
      </c>
      <c r="C494" s="3" t="str">
        <f>HYPERLINK("https://www.kmpharma.in/product/17857","KML047034")</f>
        <v>KML047034</v>
      </c>
      <c r="D494" s="3" t="s">
        <v>7</v>
      </c>
      <c r="E494" s="5" t="s">
        <v>323</v>
      </c>
    </row>
    <row r="495" spans="1:5" x14ac:dyDescent="0.25">
      <c r="A495" s="6">
        <v>494</v>
      </c>
      <c r="B495" s="6" t="str">
        <f>HYPERLINK("https://www.kmpharma.in/product/18087","Lercanidipine Dimethyl Ester Nitroso Impurity")</f>
        <v>Lercanidipine Dimethyl Ester Nitroso Impurity</v>
      </c>
      <c r="C495" s="6" t="str">
        <f>HYPERLINK("https://www.kmpharma.in/product/18087","KML054015")</f>
        <v>KML054015</v>
      </c>
      <c r="D495" s="6" t="s">
        <v>7</v>
      </c>
      <c r="E495" s="7" t="s">
        <v>323</v>
      </c>
    </row>
    <row r="496" spans="1:5" x14ac:dyDescent="0.25">
      <c r="A496" s="3">
        <v>495</v>
      </c>
      <c r="B496" s="3" t="str">
        <f>HYPERLINK("https://www.kmpharma.in/product/18086","Lercanidipine Nitroso Impurity 1")</f>
        <v>Lercanidipine Nitroso Impurity 1</v>
      </c>
      <c r="C496" s="3" t="str">
        <f>HYPERLINK("https://www.kmpharma.in/product/18086","KML054047")</f>
        <v>KML054047</v>
      </c>
      <c r="D496" s="3" t="s">
        <v>7</v>
      </c>
      <c r="E496" s="5" t="s">
        <v>323</v>
      </c>
    </row>
    <row r="497" spans="1:5" x14ac:dyDescent="0.25">
      <c r="A497" s="6">
        <v>496</v>
      </c>
      <c r="B497" s="6" t="str">
        <f>HYPERLINK("https://www.kmpharma.in/product/18201","Levalbuterol Nitroso Impurity")</f>
        <v>Levalbuterol Nitroso Impurity</v>
      </c>
      <c r="C497" s="6" t="str">
        <f>HYPERLINK("https://www.kmpharma.in/product/18201","KML060013")</f>
        <v>KML060013</v>
      </c>
      <c r="D497" s="6" t="s">
        <v>7</v>
      </c>
      <c r="E497" s="7" t="s">
        <v>321</v>
      </c>
    </row>
    <row r="498" spans="1:5" x14ac:dyDescent="0.25">
      <c r="A498" s="3">
        <v>497</v>
      </c>
      <c r="B498" s="3" t="str">
        <f>HYPERLINK("https://www.kmpharma.in/product/18392","Levofolinate Nitroso Impurity 1")</f>
        <v>Levofolinate Nitroso Impurity 1</v>
      </c>
      <c r="C498" s="3" t="str">
        <f>HYPERLINK("https://www.kmpharma.in/product/18392","KML068012")</f>
        <v>KML068012</v>
      </c>
      <c r="D498" s="3" t="s">
        <v>7</v>
      </c>
      <c r="E498" s="5" t="s">
        <v>321</v>
      </c>
    </row>
    <row r="499" spans="1:5" x14ac:dyDescent="0.25">
      <c r="A499" s="6">
        <v>498</v>
      </c>
      <c r="B499" s="6" t="str">
        <f>HYPERLINK("https://www.kmpharma.in/product/18393","Levofolinate Nitroso Impurity 2")</f>
        <v>Levofolinate Nitroso Impurity 2</v>
      </c>
      <c r="C499" s="6" t="str">
        <f>HYPERLINK("https://www.kmpharma.in/product/18393","KML068013")</f>
        <v>KML068013</v>
      </c>
      <c r="D499" s="6" t="s">
        <v>7</v>
      </c>
      <c r="E499" s="7" t="s">
        <v>321</v>
      </c>
    </row>
    <row r="500" spans="1:5" x14ac:dyDescent="0.25">
      <c r="A500" s="3">
        <v>499</v>
      </c>
      <c r="B500" s="3" t="str">
        <f>HYPERLINK("https://www.kmpharma.in/product/18394","Levofolinate Nitroso Impurity 3")</f>
        <v>Levofolinate Nitroso Impurity 3</v>
      </c>
      <c r="C500" s="3" t="str">
        <f>HYPERLINK("https://www.kmpharma.in/product/18394","KML068014")</f>
        <v>KML068014</v>
      </c>
      <c r="D500" s="3" t="s">
        <v>7</v>
      </c>
      <c r="E500" s="3" t="s">
        <v>16</v>
      </c>
    </row>
    <row r="501" spans="1:5" x14ac:dyDescent="0.25">
      <c r="A501" s="6">
        <v>500</v>
      </c>
      <c r="B501" s="6" t="str">
        <f>HYPERLINK("https://www.kmpharma.in/product/18391","Levofolinate Nitroso Impurity 4")</f>
        <v>Levofolinate Nitroso Impurity 4</v>
      </c>
      <c r="C501" s="6" t="str">
        <f>HYPERLINK("https://www.kmpharma.in/product/18391","KML068015")</f>
        <v>KML068015</v>
      </c>
      <c r="D501" s="6" t="s">
        <v>7</v>
      </c>
      <c r="E501" s="6" t="s">
        <v>16</v>
      </c>
    </row>
    <row r="502" spans="1:5" x14ac:dyDescent="0.25">
      <c r="A502" s="3">
        <v>501</v>
      </c>
      <c r="B502" s="3" t="str">
        <f>HYPERLINK("https://www.kmpharma.in/product/14382","Levofolinic Acid Nitroso Impurity 1")</f>
        <v>Levofolinic Acid Nitroso Impurity 1</v>
      </c>
      <c r="C502" s="3" t="str">
        <f>HYPERLINK("https://www.kmpharma.in/product/14382","KMF101030")</f>
        <v>KMF101030</v>
      </c>
      <c r="D502" s="3" t="s">
        <v>7</v>
      </c>
      <c r="E502" s="3" t="s">
        <v>16</v>
      </c>
    </row>
    <row r="503" spans="1:5" x14ac:dyDescent="0.25">
      <c r="A503" s="6">
        <v>502</v>
      </c>
      <c r="B503" s="6" t="str">
        <f>HYPERLINK("https://www.kmpharma.in/product/14376","Levofolinic Acid Nitroso Impurity 2")</f>
        <v>Levofolinic Acid Nitroso Impurity 2</v>
      </c>
      <c r="C503" s="6" t="str">
        <f>HYPERLINK("https://www.kmpharma.in/product/14376","KMF101031")</f>
        <v>KMF101031</v>
      </c>
      <c r="D503" s="6" t="s">
        <v>7</v>
      </c>
      <c r="E503" s="7" t="s">
        <v>323</v>
      </c>
    </row>
    <row r="504" spans="1:5" x14ac:dyDescent="0.25">
      <c r="A504" s="3">
        <v>503</v>
      </c>
      <c r="B504" s="3" t="str">
        <f>HYPERLINK("https://www.kmpharma.in/product/36724","Levomefolate Nitroso Impurity 1")</f>
        <v>Levomefolate Nitroso Impurity 1</v>
      </c>
      <c r="C504" s="3" t="str">
        <f>HYPERLINK("https://www.kmpharma.in/product/36724","KML069014")</f>
        <v>KML069014</v>
      </c>
      <c r="D504" s="3" t="s">
        <v>7</v>
      </c>
      <c r="E504" s="5" t="s">
        <v>321</v>
      </c>
    </row>
    <row r="505" spans="1:5" x14ac:dyDescent="0.25">
      <c r="A505" s="6">
        <v>504</v>
      </c>
      <c r="B505" s="6" t="str">
        <f>HYPERLINK("https://www.kmpharma.in/product/36725","Levomefolate Nitroso Impurity 2")</f>
        <v>Levomefolate Nitroso Impurity 2</v>
      </c>
      <c r="C505" s="6" t="str">
        <f>HYPERLINK("https://www.kmpharma.in/product/36725","KML069015")</f>
        <v>KML069015</v>
      </c>
      <c r="D505" s="6" t="s">
        <v>7</v>
      </c>
      <c r="E505" s="6" t="s">
        <v>16</v>
      </c>
    </row>
    <row r="506" spans="1:5" x14ac:dyDescent="0.25">
      <c r="A506" s="3">
        <v>505</v>
      </c>
      <c r="B506" s="3" t="str">
        <f>HYPERLINK("https://www.kmpharma.in/product/36726","Levomefolate Nitroso Impurity 3")</f>
        <v>Levomefolate Nitroso Impurity 3</v>
      </c>
      <c r="C506" s="3" t="str">
        <f>HYPERLINK("https://www.kmpharma.in/product/36726","KML069016")</f>
        <v>KML069016</v>
      </c>
      <c r="D506" s="3" t="s">
        <v>7</v>
      </c>
      <c r="E506" s="5" t="s">
        <v>323</v>
      </c>
    </row>
    <row r="507" spans="1:5" x14ac:dyDescent="0.25">
      <c r="A507" s="6">
        <v>506</v>
      </c>
      <c r="B507" s="6" t="str">
        <f>HYPERLINK("https://www.kmpharma.in/product/36722","Levomefolate Nitroso Impurity 4")</f>
        <v>Levomefolate Nitroso Impurity 4</v>
      </c>
      <c r="C507" s="6" t="str">
        <f>HYPERLINK("https://www.kmpharma.in/product/36722","KML069017")</f>
        <v>KML069017</v>
      </c>
      <c r="D507" s="6" t="s">
        <v>7</v>
      </c>
      <c r="E507" s="6" t="s">
        <v>16</v>
      </c>
    </row>
    <row r="508" spans="1:5" x14ac:dyDescent="0.25">
      <c r="A508" s="3">
        <v>507</v>
      </c>
      <c r="B508" s="3" t="str">
        <f>HYPERLINK("https://www.kmpharma.in/product/18475","Levosimendan Nitroso Impurity")</f>
        <v>Levosimendan Nitroso Impurity</v>
      </c>
      <c r="C508" s="3" t="str">
        <f>HYPERLINK("https://www.kmpharma.in/product/18475","KML073016")</f>
        <v>KML073016</v>
      </c>
      <c r="D508" s="3" t="s">
        <v>7</v>
      </c>
      <c r="E508" s="5" t="s">
        <v>321</v>
      </c>
    </row>
    <row r="509" spans="1:5" x14ac:dyDescent="0.25">
      <c r="A509" s="6">
        <v>508</v>
      </c>
      <c r="B509" s="6" t="str">
        <f>HYPERLINK("https://www.kmpharma.in/product/18588","Lidocaine Nitroso Impurity 1")</f>
        <v>Lidocaine Nitroso Impurity 1</v>
      </c>
      <c r="C509" s="6" t="str">
        <f>HYPERLINK("https://www.kmpharma.in/product/18588","KML024036")</f>
        <v>KML024036</v>
      </c>
      <c r="D509" s="6" t="s">
        <v>7</v>
      </c>
      <c r="E509" s="7" t="s">
        <v>321</v>
      </c>
    </row>
    <row r="510" spans="1:5" x14ac:dyDescent="0.25">
      <c r="A510" s="3">
        <v>509</v>
      </c>
      <c r="B510" s="3" t="str">
        <f>HYPERLINK("https://www.kmpharma.in/product/18772","Linagliptin Nitroso Dimer Impurity 1")</f>
        <v>Linagliptin Nitroso Dimer Impurity 1</v>
      </c>
      <c r="C510" s="3" t="str">
        <f>HYPERLINK("https://www.kmpharma.in/product/18772","KML010118")</f>
        <v>KML010118</v>
      </c>
      <c r="D510" s="3" t="s">
        <v>7</v>
      </c>
      <c r="E510" s="5" t="s">
        <v>323</v>
      </c>
    </row>
    <row r="511" spans="1:5" x14ac:dyDescent="0.25">
      <c r="A511" s="6">
        <v>510</v>
      </c>
      <c r="B511" s="6" t="str">
        <f>HYPERLINK("https://www.kmpharma.in/product/18774","Linagliptin Nitroso Dimer Impurity 2")</f>
        <v>Linagliptin Nitroso Dimer Impurity 2</v>
      </c>
      <c r="C511" s="6" t="str">
        <f>HYPERLINK("https://www.kmpharma.in/product/18774","KML010119")</f>
        <v>KML010119</v>
      </c>
      <c r="D511" s="6" t="s">
        <v>7</v>
      </c>
      <c r="E511" s="6" t="s">
        <v>16</v>
      </c>
    </row>
    <row r="512" spans="1:5" x14ac:dyDescent="0.25">
      <c r="A512" s="3">
        <v>511</v>
      </c>
      <c r="B512" s="3" t="str">
        <f>HYPERLINK("https://www.kmpharma.in/product/18767","Linagliptin Nitroso Dimer Impurity 3")</f>
        <v>Linagliptin Nitroso Dimer Impurity 3</v>
      </c>
      <c r="C512" s="3" t="str">
        <f>HYPERLINK("https://www.kmpharma.in/product/18767","KML010120")</f>
        <v>KML010120</v>
      </c>
      <c r="D512" s="3" t="s">
        <v>7</v>
      </c>
      <c r="E512" s="5" t="s">
        <v>321</v>
      </c>
    </row>
    <row r="513" spans="1:5" x14ac:dyDescent="0.25">
      <c r="A513" s="6">
        <v>512</v>
      </c>
      <c r="B513" s="6" t="str">
        <f>HYPERLINK("https://www.kmpharma.in/product/18768","Linagliptin Nitroso Dimer Impurity 4")</f>
        <v>Linagliptin Nitroso Dimer Impurity 4</v>
      </c>
      <c r="C513" s="6" t="str">
        <f>HYPERLINK("https://www.kmpharma.in/product/18768","KML010121")</f>
        <v>KML010121</v>
      </c>
      <c r="D513" s="6" t="s">
        <v>7</v>
      </c>
      <c r="E513" s="7" t="s">
        <v>321</v>
      </c>
    </row>
    <row r="514" spans="1:5" x14ac:dyDescent="0.25">
      <c r="A514" s="3">
        <v>513</v>
      </c>
      <c r="B514" s="3" t="str">
        <f>HYPERLINK("https://www.kmpharma.in/product/18773","Linagliptin Nitroso Impurity 10")</f>
        <v>Linagliptin Nitroso Impurity 10</v>
      </c>
      <c r="C514" s="3" t="str">
        <f>HYPERLINK("https://www.kmpharma.in/product/18773","KML010122")</f>
        <v>KML010122</v>
      </c>
      <c r="D514" s="3" t="s">
        <v>7</v>
      </c>
      <c r="E514" s="5" t="s">
        <v>321</v>
      </c>
    </row>
    <row r="515" spans="1:5" x14ac:dyDescent="0.25">
      <c r="A515" s="6">
        <v>514</v>
      </c>
      <c r="B515" s="6" t="str">
        <f>HYPERLINK("https://www.kmpharma.in/product/18775","Linagliptin Nitroso Impurity 2")</f>
        <v>Linagliptin Nitroso Impurity 2</v>
      </c>
      <c r="C515" s="6" t="str">
        <f>HYPERLINK("https://www.kmpharma.in/product/18775","KML010123")</f>
        <v>KML010123</v>
      </c>
      <c r="D515" s="6" t="s">
        <v>7</v>
      </c>
      <c r="E515" s="7" t="s">
        <v>321</v>
      </c>
    </row>
    <row r="516" spans="1:5" x14ac:dyDescent="0.25">
      <c r="A516" s="3">
        <v>515</v>
      </c>
      <c r="B516" s="3" t="str">
        <f>HYPERLINK("https://www.kmpharma.in/product/18776","Linagliptin Nitroso Impurity 3")</f>
        <v>Linagliptin Nitroso Impurity 3</v>
      </c>
      <c r="C516" s="3" t="str">
        <f>HYPERLINK("https://www.kmpharma.in/product/18776","KML010124")</f>
        <v>KML010124</v>
      </c>
      <c r="D516" s="3" t="s">
        <v>7</v>
      </c>
      <c r="E516" s="5" t="s">
        <v>323</v>
      </c>
    </row>
    <row r="517" spans="1:5" x14ac:dyDescent="0.25">
      <c r="A517" s="6">
        <v>516</v>
      </c>
      <c r="B517" s="6" t="str">
        <f>HYPERLINK("https://www.kmpharma.in/product/18764","Linagliptin Nitroso Impurity 5")</f>
        <v>Linagliptin Nitroso Impurity 5</v>
      </c>
      <c r="C517" s="6" t="str">
        <f>HYPERLINK("https://www.kmpharma.in/product/18764","KML010125")</f>
        <v>KML010125</v>
      </c>
      <c r="D517" s="6" t="s">
        <v>71</v>
      </c>
      <c r="E517" s="7" t="s">
        <v>323</v>
      </c>
    </row>
    <row r="518" spans="1:5" x14ac:dyDescent="0.25">
      <c r="A518" s="3">
        <v>517</v>
      </c>
      <c r="B518" s="3" t="str">
        <f>HYPERLINK("https://www.kmpharma.in/product/18769","Linagliptin Nitroso Impurity 6")</f>
        <v>Linagliptin Nitroso Impurity 6</v>
      </c>
      <c r="C518" s="3" t="str">
        <f>HYPERLINK("https://www.kmpharma.in/product/18769","KML010126")</f>
        <v>KML010126</v>
      </c>
      <c r="D518" s="3" t="s">
        <v>7</v>
      </c>
      <c r="E518" s="5" t="s">
        <v>321</v>
      </c>
    </row>
    <row r="519" spans="1:5" x14ac:dyDescent="0.25">
      <c r="A519" s="6">
        <v>518</v>
      </c>
      <c r="B519" s="6" t="str">
        <f>HYPERLINK("https://www.kmpharma.in/product/18777","Linagliptin Nitroso Impurity 7")</f>
        <v>Linagliptin Nitroso Impurity 7</v>
      </c>
      <c r="C519" s="6" t="str">
        <f>HYPERLINK("https://www.kmpharma.in/product/18777","KML010127")</f>
        <v>KML010127</v>
      </c>
      <c r="D519" s="6" t="s">
        <v>7</v>
      </c>
      <c r="E519" s="7" t="s">
        <v>321</v>
      </c>
    </row>
    <row r="520" spans="1:5" x14ac:dyDescent="0.25">
      <c r="A520" s="3">
        <v>519</v>
      </c>
      <c r="B520" s="3" t="str">
        <f>HYPERLINK("https://www.kmpharma.in/product/18778","Linagliptin Nitroso Impurity 8")</f>
        <v>Linagliptin Nitroso Impurity 8</v>
      </c>
      <c r="C520" s="3" t="str">
        <f>HYPERLINK("https://www.kmpharma.in/product/18778","KML010128")</f>
        <v>KML010128</v>
      </c>
      <c r="D520" s="3" t="s">
        <v>7</v>
      </c>
      <c r="E520" s="5" t="s">
        <v>323</v>
      </c>
    </row>
    <row r="521" spans="1:5" x14ac:dyDescent="0.25">
      <c r="A521" s="6">
        <v>520</v>
      </c>
      <c r="B521" s="6" t="str">
        <f>HYPERLINK("https://www.kmpharma.in/product/18779","Linagliptin Nitroso Impurity 9")</f>
        <v>Linagliptin Nitroso Impurity 9</v>
      </c>
      <c r="C521" s="6" t="str">
        <f>HYPERLINK("https://www.kmpharma.in/product/18779","KML010129")</f>
        <v>KML010129</v>
      </c>
      <c r="D521" s="6" t="s">
        <v>7</v>
      </c>
      <c r="E521" s="7" t="s">
        <v>321</v>
      </c>
    </row>
    <row r="522" spans="1:5" x14ac:dyDescent="0.25">
      <c r="A522" s="3">
        <v>521</v>
      </c>
      <c r="B522" s="3" t="str">
        <f>HYPERLINK("https://www.kmpharma.in/product/18770","Linagliptin Regio Isomer Dinitroso Impurity")</f>
        <v>Linagliptin Regio Isomer Dinitroso Impurity</v>
      </c>
      <c r="C522" s="3" t="str">
        <f>HYPERLINK("https://www.kmpharma.in/product/18770","KML010132")</f>
        <v>KML010132</v>
      </c>
      <c r="D522" s="3" t="s">
        <v>7</v>
      </c>
      <c r="E522" s="5" t="s">
        <v>321</v>
      </c>
    </row>
    <row r="523" spans="1:5" x14ac:dyDescent="0.25">
      <c r="A523" s="6">
        <v>522</v>
      </c>
      <c r="B523" s="6" t="str">
        <f>HYPERLINK("https://www.kmpharma.in/product/18765","Linagliptin Regio Isomer Nitroso Impurity 1")</f>
        <v>Linagliptin Regio Isomer Nitroso Impurity 1</v>
      </c>
      <c r="C523" s="6" t="str">
        <f>HYPERLINK("https://www.kmpharma.in/product/18765","KML010133")</f>
        <v>KML010133</v>
      </c>
      <c r="D523" s="6" t="s">
        <v>7</v>
      </c>
      <c r="E523" s="7" t="s">
        <v>321</v>
      </c>
    </row>
    <row r="524" spans="1:5" x14ac:dyDescent="0.25">
      <c r="A524" s="3">
        <v>523</v>
      </c>
      <c r="B524" s="3" t="str">
        <f>HYPERLINK("https://www.kmpharma.in/product/18771","Linagliptin Regio Isomer Nitroso Impurity 2")</f>
        <v>Linagliptin Regio Isomer Nitroso Impurity 2</v>
      </c>
      <c r="C524" s="3" t="str">
        <f>HYPERLINK("https://www.kmpharma.in/product/18771","KML010134")</f>
        <v>KML010134</v>
      </c>
      <c r="D524" s="3" t="s">
        <v>7</v>
      </c>
      <c r="E524" s="5" t="s">
        <v>321</v>
      </c>
    </row>
    <row r="525" spans="1:5" x14ac:dyDescent="0.25">
      <c r="A525" s="6">
        <v>524</v>
      </c>
      <c r="B525" s="6" t="str">
        <f>HYPERLINK("https://www.kmpharma.in/product/18784","Linaprazan Glurate Nitroso Impurity 1")</f>
        <v>Linaprazan Glurate Nitroso Impurity 1</v>
      </c>
      <c r="C525" s="6" t="str">
        <f>HYPERLINK("https://www.kmpharma.in/product/18784","KML079003")</f>
        <v>KML079003</v>
      </c>
      <c r="D525" s="6" t="s">
        <v>7</v>
      </c>
      <c r="E525" s="7" t="s">
        <v>321</v>
      </c>
    </row>
    <row r="526" spans="1:5" x14ac:dyDescent="0.25">
      <c r="A526" s="3">
        <v>525</v>
      </c>
      <c r="B526" s="3" t="str">
        <f>HYPERLINK("https://www.kmpharma.in/product/18785","Linaprazan Glurate Nitroso Impurity 2")</f>
        <v>Linaprazan Glurate Nitroso Impurity 2</v>
      </c>
      <c r="C526" s="3" t="str">
        <f>HYPERLINK("https://www.kmpharma.in/product/18785","KML079004")</f>
        <v>KML079004</v>
      </c>
      <c r="D526" s="3" t="s">
        <v>7</v>
      </c>
      <c r="E526" s="5" t="s">
        <v>321</v>
      </c>
    </row>
    <row r="527" spans="1:5" x14ac:dyDescent="0.25">
      <c r="A527" s="6">
        <v>526</v>
      </c>
      <c r="B527" s="6" t="str">
        <f>HYPERLINK("https://www.kmpharma.in/product/18877","Linezolid Benzylamine Nitroso Impurity")</f>
        <v>Linezolid Benzylamine Nitroso Impurity</v>
      </c>
      <c r="C527" s="6" t="str">
        <f>HYPERLINK("https://www.kmpharma.in/product/18877","KML011007")</f>
        <v>KML011007</v>
      </c>
      <c r="D527" s="6" t="s">
        <v>7</v>
      </c>
      <c r="E527" s="7" t="s">
        <v>321</v>
      </c>
    </row>
    <row r="528" spans="1:5" x14ac:dyDescent="0.25">
      <c r="A528" s="3">
        <v>527</v>
      </c>
      <c r="B528" s="3" t="str">
        <f>HYPERLINK("https://www.kmpharma.in/product/18878","Linezolid Descarbonyl N-Desacetyl Nitroso Impurity")</f>
        <v>Linezolid Descarbonyl N-Desacetyl Nitroso Impurity</v>
      </c>
      <c r="C528" s="3" t="str">
        <f>HYPERLINK("https://www.kmpharma.in/product/18878","KML011020")</f>
        <v>KML011020</v>
      </c>
      <c r="D528" s="3" t="s">
        <v>7</v>
      </c>
      <c r="E528" s="5" t="s">
        <v>321</v>
      </c>
    </row>
    <row r="529" spans="1:5" x14ac:dyDescent="0.25">
      <c r="A529" s="6">
        <v>528</v>
      </c>
      <c r="B529" s="6" t="str">
        <f>HYPERLINK("https://www.kmpharma.in/product/19004","Lisinopril Nitroso Impurity")</f>
        <v>Lisinopril Nitroso Impurity</v>
      </c>
      <c r="C529" s="6" t="str">
        <f>HYPERLINK("https://www.kmpharma.in/product/19004","KML007033")</f>
        <v>KML007033</v>
      </c>
      <c r="D529" s="6" t="s">
        <v>72</v>
      </c>
      <c r="E529" s="7" t="s">
        <v>321</v>
      </c>
    </row>
    <row r="530" spans="1:5" x14ac:dyDescent="0.25">
      <c r="A530" s="3">
        <v>529</v>
      </c>
      <c r="B530" s="3" t="str">
        <f>HYPERLINK("https://www.kmpharma.in/product/19005","Lisinopril Nitroso Impurity (Hydrate)")</f>
        <v>Lisinopril Nitroso Impurity (Hydrate)</v>
      </c>
      <c r="C530" s="3" t="str">
        <f>HYPERLINK("https://www.kmpharma.in/product/19005","KML007034")</f>
        <v>KML007034</v>
      </c>
      <c r="D530" s="3" t="s">
        <v>7</v>
      </c>
      <c r="E530" s="5" t="s">
        <v>321</v>
      </c>
    </row>
    <row r="531" spans="1:5" x14ac:dyDescent="0.25">
      <c r="A531" s="6">
        <v>530</v>
      </c>
      <c r="B531" s="6" t="str">
        <f>HYPERLINK("https://www.kmpharma.in/product/19030","Lofexidine Nitroso Impurity")</f>
        <v>Lofexidine Nitroso Impurity</v>
      </c>
      <c r="C531" s="6" t="str">
        <f>HYPERLINK("https://www.kmpharma.in/product/19030","KML087009")</f>
        <v>KML087009</v>
      </c>
      <c r="D531" s="6" t="s">
        <v>7</v>
      </c>
      <c r="E531" s="7" t="s">
        <v>323</v>
      </c>
    </row>
    <row r="532" spans="1:5" x14ac:dyDescent="0.25">
      <c r="A532" s="3">
        <v>531</v>
      </c>
      <c r="B532" s="3" t="str">
        <f>HYPERLINK("https://www.kmpharma.in/product/19199","Lorcaserin Nitroso Impurity")</f>
        <v>Lorcaserin Nitroso Impurity</v>
      </c>
      <c r="C532" s="3" t="str">
        <f>HYPERLINK("https://www.kmpharma.in/product/19199","KML096010")</f>
        <v>KML096010</v>
      </c>
      <c r="D532" s="3" t="s">
        <v>7</v>
      </c>
      <c r="E532" s="5" t="s">
        <v>323</v>
      </c>
    </row>
    <row r="533" spans="1:5" x14ac:dyDescent="0.25">
      <c r="A533" s="6">
        <v>532</v>
      </c>
      <c r="B533" s="6" t="str">
        <f>HYPERLINK("https://www.kmpharma.in/product/19323","Losartan Nitroso Impurity")</f>
        <v>Losartan Nitroso Impurity</v>
      </c>
      <c r="C533" s="6" t="str">
        <f>HYPERLINK("https://www.kmpharma.in/product/19323","KML005063")</f>
        <v>KML005063</v>
      </c>
      <c r="D533" s="6" t="s">
        <v>7</v>
      </c>
      <c r="E533" s="7" t="s">
        <v>323</v>
      </c>
    </row>
    <row r="534" spans="1:5" x14ac:dyDescent="0.25">
      <c r="A534" s="3">
        <v>533</v>
      </c>
      <c r="B534" s="3" t="str">
        <f>HYPERLINK("https://www.kmpharma.in/product/19324","Losartan Nitroso Impurity 1")</f>
        <v>Losartan Nitroso Impurity 1</v>
      </c>
      <c r="C534" s="3" t="str">
        <f>HYPERLINK("https://www.kmpharma.in/product/19324","KML005064")</f>
        <v>KML005064</v>
      </c>
      <c r="D534" s="3" t="s">
        <v>7</v>
      </c>
      <c r="E534" s="5" t="s">
        <v>321</v>
      </c>
    </row>
    <row r="535" spans="1:5" x14ac:dyDescent="0.25">
      <c r="A535" s="6">
        <v>534</v>
      </c>
      <c r="B535" s="6" t="str">
        <f>HYPERLINK("https://www.kmpharma.in/product/19325","Losartan Nitroso Impurity 3")</f>
        <v>Losartan Nitroso Impurity 3</v>
      </c>
      <c r="C535" s="6" t="str">
        <f>HYPERLINK("https://www.kmpharma.in/product/19325","KML005065")</f>
        <v>KML005065</v>
      </c>
      <c r="D535" s="6" t="s">
        <v>7</v>
      </c>
      <c r="E535" s="7" t="s">
        <v>321</v>
      </c>
    </row>
    <row r="536" spans="1:5" x14ac:dyDescent="0.25">
      <c r="A536" s="3">
        <v>535</v>
      </c>
      <c r="B536" s="3" t="str">
        <f>HYPERLINK("https://www.kmpharma.in/product/19326","Losartan Nitroso Impurity 4")</f>
        <v>Losartan Nitroso Impurity 4</v>
      </c>
      <c r="C536" s="3" t="str">
        <f>HYPERLINK("https://www.kmpharma.in/product/19326","KML005066")</f>
        <v>KML005066</v>
      </c>
      <c r="D536" s="3" t="s">
        <v>7</v>
      </c>
      <c r="E536" s="5" t="s">
        <v>321</v>
      </c>
    </row>
    <row r="537" spans="1:5" x14ac:dyDescent="0.25">
      <c r="A537" s="6">
        <v>536</v>
      </c>
      <c r="B537" s="6" t="str">
        <f>HYPERLINK("https://www.kmpharma.in/product/19505","Lumateperone Nitroso Impurity 3")</f>
        <v>Lumateperone Nitroso Impurity 3</v>
      </c>
      <c r="C537" s="6" t="str">
        <f>HYPERLINK("https://www.kmpharma.in/product/19505","KML108031")</f>
        <v>KML108031</v>
      </c>
      <c r="D537" s="6" t="s">
        <v>7</v>
      </c>
      <c r="E537" s="7" t="s">
        <v>321</v>
      </c>
    </row>
    <row r="538" spans="1:5" x14ac:dyDescent="0.25">
      <c r="A538" s="3">
        <v>537</v>
      </c>
      <c r="B538" s="3" t="str">
        <f>HYPERLINK("https://www.kmpharma.in/product/19506","Lumateperone Nitroso Impurity 4")</f>
        <v>Lumateperone Nitroso Impurity 4</v>
      </c>
      <c r="C538" s="3" t="str">
        <f>HYPERLINK("https://www.kmpharma.in/product/19506","KML108032")</f>
        <v>KML108032</v>
      </c>
      <c r="D538" s="3" t="s">
        <v>7</v>
      </c>
      <c r="E538" s="5" t="s">
        <v>321</v>
      </c>
    </row>
    <row r="539" spans="1:5" x14ac:dyDescent="0.25">
      <c r="A539" s="6">
        <v>538</v>
      </c>
      <c r="B539" s="6" t="str">
        <f>HYPERLINK("https://www.kmpharma.in/product/19507","Lumateperone Nitroso Impurity 5")</f>
        <v>Lumateperone Nitroso Impurity 5</v>
      </c>
      <c r="C539" s="6" t="str">
        <f>HYPERLINK("https://www.kmpharma.in/product/19507","KML108033")</f>
        <v>KML108033</v>
      </c>
      <c r="D539" s="6" t="s">
        <v>7</v>
      </c>
      <c r="E539" s="7" t="s">
        <v>321</v>
      </c>
    </row>
    <row r="540" spans="1:5" x14ac:dyDescent="0.25">
      <c r="A540" s="3">
        <v>539</v>
      </c>
      <c r="B540" s="3" t="str">
        <f>HYPERLINK("https://www.kmpharma.in/product/19508","Lumateperone Nitroso Impurity 6")</f>
        <v>Lumateperone Nitroso Impurity 6</v>
      </c>
      <c r="C540" s="3" t="str">
        <f>HYPERLINK("https://www.kmpharma.in/product/19508","KML108034")</f>
        <v>KML108034</v>
      </c>
      <c r="D540" s="3" t="s">
        <v>7</v>
      </c>
      <c r="E540" s="5" t="s">
        <v>321</v>
      </c>
    </row>
    <row r="541" spans="1:5" x14ac:dyDescent="0.25">
      <c r="A541" s="6">
        <v>540</v>
      </c>
      <c r="B541" s="6" t="str">
        <f>HYPERLINK("https://www.kmpharma.in/product/19509","Lumateperone Nitroso Impurity 7")</f>
        <v>Lumateperone Nitroso Impurity 7</v>
      </c>
      <c r="C541" s="6" t="str">
        <f>HYPERLINK("https://www.kmpharma.in/product/19509","KML108035")</f>
        <v>KML108035</v>
      </c>
      <c r="D541" s="6" t="s">
        <v>7</v>
      </c>
      <c r="E541" s="7" t="s">
        <v>321</v>
      </c>
    </row>
    <row r="542" spans="1:5" x14ac:dyDescent="0.25">
      <c r="A542" s="3">
        <v>541</v>
      </c>
      <c r="B542" s="3" t="str">
        <f>HYPERLINK("https://www.kmpharma.in/product/19642","Lurasidone Nitroso Impurity")</f>
        <v>Lurasidone Nitroso Impurity</v>
      </c>
      <c r="C542" s="3" t="str">
        <f>HYPERLINK("https://www.kmpharma.in/product/19642","KML006105")</f>
        <v>KML006105</v>
      </c>
      <c r="D542" s="3" t="s">
        <v>7</v>
      </c>
      <c r="E542" s="5" t="s">
        <v>323</v>
      </c>
    </row>
    <row r="543" spans="1:5" x14ac:dyDescent="0.25">
      <c r="A543" s="6">
        <v>542</v>
      </c>
      <c r="B543" s="6" t="str">
        <f>HYPERLINK("https://www.kmpharma.in/product/19651","Lurbinectedin Nitroso Impurity")</f>
        <v>Lurbinectedin Nitroso Impurity</v>
      </c>
      <c r="C543" s="6" t="str">
        <f>HYPERLINK("https://www.kmpharma.in/product/19651","KML111007")</f>
        <v>KML111007</v>
      </c>
      <c r="D543" s="6" t="s">
        <v>7</v>
      </c>
      <c r="E543" s="7" t="s">
        <v>323</v>
      </c>
    </row>
    <row r="544" spans="1:5" x14ac:dyDescent="0.25">
      <c r="A544" s="3">
        <v>543</v>
      </c>
      <c r="B544" s="3" t="str">
        <f>HYPERLINK("https://www.kmpharma.in/product/19672","Lymecycline Nitroso Impurity")</f>
        <v>Lymecycline Nitroso Impurity</v>
      </c>
      <c r="C544" s="3" t="str">
        <f>HYPERLINK("https://www.kmpharma.in/product/19672","KML116008")</f>
        <v>KML116008</v>
      </c>
      <c r="D544" s="3" t="s">
        <v>7</v>
      </c>
      <c r="E544" s="5" t="s">
        <v>321</v>
      </c>
    </row>
    <row r="545" spans="1:5" x14ac:dyDescent="0.25">
      <c r="A545" s="6">
        <v>544</v>
      </c>
      <c r="B545" s="6" t="str">
        <f>HYPERLINK("https://www.kmpharma.in/product/19692","Macimorelin Acetate Nitroso Impurity 1")</f>
        <v>Macimorelin Acetate Nitroso Impurity 1</v>
      </c>
      <c r="C545" s="6" t="str">
        <f>HYPERLINK("https://www.kmpharma.in/product/19692","KMM022003")</f>
        <v>KMM022003</v>
      </c>
      <c r="D545" s="6" t="s">
        <v>7</v>
      </c>
      <c r="E545" s="7" t="s">
        <v>321</v>
      </c>
    </row>
    <row r="546" spans="1:5" x14ac:dyDescent="0.25">
      <c r="A546" s="3">
        <v>545</v>
      </c>
      <c r="B546" s="3" t="str">
        <f>HYPERLINK("https://www.kmpharma.in/product/19693","Macimorelin Acetate Nitroso Impurity 2")</f>
        <v>Macimorelin Acetate Nitroso Impurity 2</v>
      </c>
      <c r="C546" s="3" t="str">
        <f>HYPERLINK("https://www.kmpharma.in/product/19693","KMM022004")</f>
        <v>KMM022004</v>
      </c>
      <c r="D546" s="3" t="s">
        <v>7</v>
      </c>
      <c r="E546" s="5" t="s">
        <v>321</v>
      </c>
    </row>
    <row r="547" spans="1:5" x14ac:dyDescent="0.25">
      <c r="A547" s="6">
        <v>546</v>
      </c>
      <c r="B547" s="6" t="str">
        <f>HYPERLINK("https://www.kmpharma.in/product/19694","Macimorelin Acetate Nitroso Impurity 3")</f>
        <v>Macimorelin Acetate Nitroso Impurity 3</v>
      </c>
      <c r="C547" s="6" t="str">
        <f>HYPERLINK("https://www.kmpharma.in/product/19694","KMM022005")</f>
        <v>KMM022005</v>
      </c>
      <c r="D547" s="6" t="s">
        <v>7</v>
      </c>
      <c r="E547" s="7" t="s">
        <v>321</v>
      </c>
    </row>
    <row r="548" spans="1:5" x14ac:dyDescent="0.25">
      <c r="A548" s="3">
        <v>547</v>
      </c>
      <c r="B548" s="3" t="str">
        <f>HYPERLINK("https://www.kmpharma.in/product/19737","Macitentan Nitroso Pyrimidine N-Propyl Impurity")</f>
        <v>Macitentan Nitroso Pyrimidine N-Propyl Impurity</v>
      </c>
      <c r="C548" s="3" t="str">
        <f>HYPERLINK("https://www.kmpharma.in/product/19737","KMM015035")</f>
        <v>KMM015035</v>
      </c>
      <c r="D548" s="3" t="s">
        <v>7</v>
      </c>
      <c r="E548" s="5" t="s">
        <v>321</v>
      </c>
    </row>
    <row r="549" spans="1:5" x14ac:dyDescent="0.25">
      <c r="A549" s="6">
        <v>548</v>
      </c>
      <c r="B549" s="6" t="str">
        <f>HYPERLINK("https://www.kmpharma.in/product/19775","Manidipine Nitroso Impurity")</f>
        <v>Manidipine Nitroso Impurity</v>
      </c>
      <c r="C549" s="6" t="str">
        <f>HYPERLINK("https://www.kmpharma.in/product/19775","KMM029017")</f>
        <v>KMM029017</v>
      </c>
      <c r="D549" s="6" t="s">
        <v>7</v>
      </c>
      <c r="E549" s="7" t="s">
        <v>321</v>
      </c>
    </row>
    <row r="550" spans="1:5" x14ac:dyDescent="0.25">
      <c r="A550" s="3">
        <v>549</v>
      </c>
      <c r="B550" s="3" t="str">
        <f>HYPERLINK("https://www.kmpharma.in/product/19922","Mebendazole Nitroso Impurity")</f>
        <v>Mebendazole Nitroso Impurity</v>
      </c>
      <c r="C550" s="3" t="str">
        <f>HYPERLINK("https://www.kmpharma.in/product/19922","KMM019016")</f>
        <v>KMM019016</v>
      </c>
      <c r="D550" s="3" t="s">
        <v>7</v>
      </c>
      <c r="E550" s="5" t="s">
        <v>322</v>
      </c>
    </row>
    <row r="551" spans="1:5" x14ac:dyDescent="0.25">
      <c r="A551" s="6">
        <v>550</v>
      </c>
      <c r="B551" s="6" t="str">
        <f>HYPERLINK("https://www.kmpharma.in/product/36775","Mebeverine Nitroso Impurity 1")</f>
        <v>Mebeverine Nitroso Impurity 1</v>
      </c>
      <c r="C551" s="6" t="str">
        <f>HYPERLINK("https://www.kmpharma.in/product/36775","KMM044029")</f>
        <v>KMM044029</v>
      </c>
      <c r="D551" s="6" t="s">
        <v>7</v>
      </c>
      <c r="E551" s="7" t="s">
        <v>321</v>
      </c>
    </row>
    <row r="552" spans="1:5" x14ac:dyDescent="0.25">
      <c r="A552" s="3">
        <v>551</v>
      </c>
      <c r="B552" s="3" t="str">
        <f>HYPERLINK("https://www.kmpharma.in/product/36776","Mebeverine Nitroso Impurity 2")</f>
        <v>Mebeverine Nitroso Impurity 2</v>
      </c>
      <c r="C552" s="3" t="str">
        <f>HYPERLINK("https://www.kmpharma.in/product/36776","KMM044030")</f>
        <v>KMM044030</v>
      </c>
      <c r="D552" s="3" t="s">
        <v>7</v>
      </c>
      <c r="E552" s="5" t="s">
        <v>321</v>
      </c>
    </row>
    <row r="553" spans="1:5" x14ac:dyDescent="0.25">
      <c r="A553" s="6">
        <v>552</v>
      </c>
      <c r="B553" s="6" t="str">
        <f>HYPERLINK("https://www.kmpharma.in/product/19992","Medetomidine Nitroso Impurity")</f>
        <v>Medetomidine Nitroso Impurity</v>
      </c>
      <c r="C553" s="6" t="str">
        <f>HYPERLINK("https://www.kmpharma.in/product/19992","KMM051033")</f>
        <v>KMM051033</v>
      </c>
      <c r="D553" s="6" t="s">
        <v>7</v>
      </c>
      <c r="E553" s="7" t="s">
        <v>321</v>
      </c>
    </row>
    <row r="554" spans="1:5" x14ac:dyDescent="0.25">
      <c r="A554" s="3">
        <v>553</v>
      </c>
      <c r="B554" s="3" t="str">
        <f>HYPERLINK("https://www.kmpharma.in/product/20009","Mefenamic Acid Nitroso Impurity")</f>
        <v>Mefenamic Acid Nitroso Impurity</v>
      </c>
      <c r="C554" s="3" t="str">
        <f>HYPERLINK("https://www.kmpharma.in/product/20009","KMM053015")</f>
        <v>KMM053015</v>
      </c>
      <c r="D554" s="3" t="s">
        <v>73</v>
      </c>
      <c r="E554" s="5" t="s">
        <v>321</v>
      </c>
    </row>
    <row r="555" spans="1:5" x14ac:dyDescent="0.25">
      <c r="A555" s="6">
        <v>554</v>
      </c>
      <c r="B555" s="6" t="str">
        <f>HYPERLINK("https://www.kmpharma.in/product/20010","Mefenamic Acid Nitroso Impurity (Sodium Monohydrate)")</f>
        <v>Mefenamic Acid Nitroso Impurity (Sodium Monohydrate)</v>
      </c>
      <c r="C555" s="6" t="str">
        <f>HYPERLINK("https://www.kmpharma.in/product/20010","KMM053016")</f>
        <v>KMM053016</v>
      </c>
      <c r="D555" s="6" t="s">
        <v>7</v>
      </c>
      <c r="E555" s="7" t="s">
        <v>321</v>
      </c>
    </row>
    <row r="556" spans="1:5" x14ac:dyDescent="0.25">
      <c r="A556" s="3">
        <v>555</v>
      </c>
      <c r="B556" s="3" t="str">
        <f>HYPERLINK("https://www.kmpharma.in/product/20011","Mefenamic Acid Nitroso Impurity 1")</f>
        <v>Mefenamic Acid Nitroso Impurity 1</v>
      </c>
      <c r="C556" s="3" t="str">
        <f>HYPERLINK("https://www.kmpharma.in/product/20011","KMM053017")</f>
        <v>KMM053017</v>
      </c>
      <c r="D556" s="3" t="s">
        <v>74</v>
      </c>
      <c r="E556" s="5" t="s">
        <v>321</v>
      </c>
    </row>
    <row r="557" spans="1:5" x14ac:dyDescent="0.25">
      <c r="A557" s="6">
        <v>556</v>
      </c>
      <c r="B557" s="6" t="str">
        <f>HYPERLINK("https://www.kmpharma.in/product/20012","Mefenamic Acid Nitroso Impurity 2")</f>
        <v>Mefenamic Acid Nitroso Impurity 2</v>
      </c>
      <c r="C557" s="6" t="str">
        <f>HYPERLINK("https://www.kmpharma.in/product/20012","KMM053018")</f>
        <v>KMM053018</v>
      </c>
      <c r="D557" s="6" t="s">
        <v>7</v>
      </c>
      <c r="E557" s="7" t="s">
        <v>321</v>
      </c>
    </row>
    <row r="558" spans="1:5" x14ac:dyDescent="0.25">
      <c r="A558" s="3">
        <v>557</v>
      </c>
      <c r="B558" s="3" t="str">
        <f>HYPERLINK("https://www.kmpharma.in/product/20017","Mefloquine Nitroso Impurity 1")</f>
        <v>Mefloquine Nitroso Impurity 1</v>
      </c>
      <c r="C558" s="3" t="str">
        <f>HYPERLINK("https://www.kmpharma.in/product/20017","KMM055005")</f>
        <v>KMM055005</v>
      </c>
      <c r="D558" s="3" t="s">
        <v>7</v>
      </c>
      <c r="E558" s="5" t="s">
        <v>321</v>
      </c>
    </row>
    <row r="559" spans="1:5" x14ac:dyDescent="0.25">
      <c r="A559" s="6">
        <v>558</v>
      </c>
      <c r="B559" s="6" t="str">
        <f>HYPERLINK("https://www.kmpharma.in/product/20057","Melatonin Nitroso Impurity 1")</f>
        <v>Melatonin Nitroso Impurity 1</v>
      </c>
      <c r="C559" s="6" t="str">
        <f>HYPERLINK("https://www.kmpharma.in/product/20057","KMM058018")</f>
        <v>KMM058018</v>
      </c>
      <c r="D559" s="6" t="s">
        <v>75</v>
      </c>
      <c r="E559" s="7" t="s">
        <v>321</v>
      </c>
    </row>
    <row r="560" spans="1:5" x14ac:dyDescent="0.25">
      <c r="A560" s="3">
        <v>559</v>
      </c>
      <c r="B560" s="3" t="str">
        <f>HYPERLINK("https://www.kmpharma.in/product/20066","Meldonium Nitroso Impurity 1")</f>
        <v>Meldonium Nitroso Impurity 1</v>
      </c>
      <c r="C560" s="3" t="str">
        <f>HYPERLINK("https://www.kmpharma.in/product/20066","KMM059008")</f>
        <v>KMM059008</v>
      </c>
      <c r="D560" s="3" t="s">
        <v>7</v>
      </c>
      <c r="E560" s="5" t="s">
        <v>321</v>
      </c>
    </row>
    <row r="561" spans="1:5" x14ac:dyDescent="0.25">
      <c r="A561" s="6">
        <v>560</v>
      </c>
      <c r="B561" s="6" t="str">
        <f>HYPERLINK("https://www.kmpharma.in/product/20934","Meldonium Nitroso Impurity 1")</f>
        <v>Meldonium Nitroso Impurity 1</v>
      </c>
      <c r="C561" s="6" t="str">
        <f>HYPERLINK("https://www.kmpharma.in/product/20934","KMM137002")</f>
        <v>KMM137002</v>
      </c>
      <c r="D561" s="6" t="s">
        <v>7</v>
      </c>
      <c r="E561" s="7" t="s">
        <v>321</v>
      </c>
    </row>
    <row r="562" spans="1:5" x14ac:dyDescent="0.25">
      <c r="A562" s="3">
        <v>561</v>
      </c>
      <c r="B562" s="3" t="str">
        <f>HYPERLINK("https://www.kmpharma.in/product/20511","Methotrexate diethyl ester Nitroso Impurity")</f>
        <v>Methotrexate diethyl ester Nitroso Impurity</v>
      </c>
      <c r="C562" s="3" t="str">
        <f>HYPERLINK("https://www.kmpharma.in/product/20511","KMM018010")</f>
        <v>KMM018010</v>
      </c>
      <c r="D562" s="3" t="s">
        <v>7</v>
      </c>
      <c r="E562" s="5" t="s">
        <v>323</v>
      </c>
    </row>
    <row r="563" spans="1:5" x14ac:dyDescent="0.25">
      <c r="A563" s="6">
        <v>562</v>
      </c>
      <c r="B563" s="6" t="str">
        <f>HYPERLINK("https://www.kmpharma.in/product/20512","Methotrexate Nitroso Impurity 1")</f>
        <v>Methotrexate Nitroso Impurity 1</v>
      </c>
      <c r="C563" s="6" t="str">
        <f>HYPERLINK("https://www.kmpharma.in/product/20512","KMM018049")</f>
        <v>KMM018049</v>
      </c>
      <c r="D563" s="6" t="s">
        <v>7</v>
      </c>
      <c r="E563" s="7" t="s">
        <v>323</v>
      </c>
    </row>
    <row r="564" spans="1:5" x14ac:dyDescent="0.25">
      <c r="A564" s="3">
        <v>563</v>
      </c>
      <c r="B564" s="3" t="str">
        <f>HYPERLINK("https://www.kmpharma.in/product/20509","Methotrexate Nitroso Impurity 2")</f>
        <v>Methotrexate Nitroso Impurity 2</v>
      </c>
      <c r="C564" s="3" t="str">
        <f>HYPERLINK("https://www.kmpharma.in/product/20509","KMM018050")</f>
        <v>KMM018050</v>
      </c>
      <c r="D564" s="3" t="s">
        <v>7</v>
      </c>
      <c r="E564" s="5" t="s">
        <v>323</v>
      </c>
    </row>
    <row r="565" spans="1:5" x14ac:dyDescent="0.25">
      <c r="A565" s="6">
        <v>564</v>
      </c>
      <c r="B565" s="6" t="str">
        <f>HYPERLINK("https://www.kmpharma.in/product/20510","Methotrexate Nitroso Impurity 3")</f>
        <v>Methotrexate Nitroso Impurity 3</v>
      </c>
      <c r="C565" s="6" t="str">
        <f>HYPERLINK("https://www.kmpharma.in/product/20510","KMM018051")</f>
        <v>KMM018051</v>
      </c>
      <c r="D565" s="6" t="s">
        <v>7</v>
      </c>
      <c r="E565" s="7" t="s">
        <v>321</v>
      </c>
    </row>
    <row r="566" spans="1:5" x14ac:dyDescent="0.25">
      <c r="A566" s="3">
        <v>565</v>
      </c>
      <c r="B566" s="3" t="str">
        <f>HYPERLINK("https://www.kmpharma.in/product/20513","Methotrexate Nitroso Impurity 4")</f>
        <v>Methotrexate Nitroso Impurity 4</v>
      </c>
      <c r="C566" s="3" t="str">
        <f>HYPERLINK("https://www.kmpharma.in/product/20513","KMM018052")</f>
        <v>KMM018052</v>
      </c>
      <c r="D566" s="3" t="s">
        <v>7</v>
      </c>
      <c r="E566" s="5" t="s">
        <v>321</v>
      </c>
    </row>
    <row r="567" spans="1:5" x14ac:dyDescent="0.25">
      <c r="A567" s="6">
        <v>566</v>
      </c>
      <c r="B567" s="6" t="str">
        <f>HYPERLINK("https://www.kmpharma.in/product/20514","Methotrexate Nitroso Impurity 5")</f>
        <v>Methotrexate Nitroso Impurity 5</v>
      </c>
      <c r="C567" s="6" t="str">
        <f>HYPERLINK("https://www.kmpharma.in/product/20514","KMM018053")</f>
        <v>KMM018053</v>
      </c>
      <c r="D567" s="6" t="s">
        <v>7</v>
      </c>
      <c r="E567" s="6" t="s">
        <v>16</v>
      </c>
    </row>
    <row r="568" spans="1:5" x14ac:dyDescent="0.25">
      <c r="A568" s="3">
        <v>567</v>
      </c>
      <c r="B568" s="3" t="str">
        <f>HYPERLINK("https://www.kmpharma.in/product/22993","Methyl N-Methyl-N-Nitrosoanthranilate")</f>
        <v>Methyl N-Methyl-N-Nitrosoanthranilate</v>
      </c>
      <c r="C568" s="3" t="str">
        <f>HYPERLINK("https://www.kmpharma.in/product/22993","KMN084034")</f>
        <v>KMN084034</v>
      </c>
      <c r="D568" s="3" t="s">
        <v>76</v>
      </c>
      <c r="E568" s="5" t="s">
        <v>321</v>
      </c>
    </row>
    <row r="569" spans="1:5" x14ac:dyDescent="0.25">
      <c r="A569" s="6">
        <v>568</v>
      </c>
      <c r="B569" s="6" t="str">
        <f>HYPERLINK("https://www.kmpharma.in/product/20584","Methylergometrine Nitroso Impurity")</f>
        <v>Methylergometrine Nitroso Impurity</v>
      </c>
      <c r="C569" s="6" t="str">
        <f>HYPERLINK("https://www.kmpharma.in/product/20584","KMM113011")</f>
        <v>KMM113011</v>
      </c>
      <c r="D569" s="6" t="s">
        <v>7</v>
      </c>
      <c r="E569" s="7" t="s">
        <v>321</v>
      </c>
    </row>
    <row r="570" spans="1:5" x14ac:dyDescent="0.25">
      <c r="A570" s="3">
        <v>569</v>
      </c>
      <c r="B570" s="3" t="str">
        <f>HYPERLINK("https://www.kmpharma.in/product/20607","Methylphenidate Nitroso Impurity 1")</f>
        <v>Methylphenidate Nitroso Impurity 1</v>
      </c>
      <c r="C570" s="3" t="str">
        <f>HYPERLINK("https://www.kmpharma.in/product/20607","KMM114019")</f>
        <v>KMM114019</v>
      </c>
      <c r="D570" s="3" t="s">
        <v>7</v>
      </c>
      <c r="E570" s="5" t="s">
        <v>321</v>
      </c>
    </row>
    <row r="571" spans="1:5" x14ac:dyDescent="0.25">
      <c r="A571" s="6">
        <v>570</v>
      </c>
      <c r="B571" s="6" t="str">
        <f>HYPERLINK("https://www.kmpharma.in/product/20632","Metoclopramide Nitroso Impurity 1")</f>
        <v>Metoclopramide Nitroso Impurity 1</v>
      </c>
      <c r="C571" s="6" t="str">
        <f>HYPERLINK("https://www.kmpharma.in/product/20632","KMM117021")</f>
        <v>KMM117021</v>
      </c>
      <c r="D571" s="6" t="s">
        <v>7</v>
      </c>
      <c r="E571" s="7" t="s">
        <v>321</v>
      </c>
    </row>
    <row r="572" spans="1:5" x14ac:dyDescent="0.25">
      <c r="A572" s="3">
        <v>571</v>
      </c>
      <c r="B572" s="3" t="str">
        <f>HYPERLINK("https://www.kmpharma.in/product/20644","Metolazone Nitroso Impurity 1")</f>
        <v>Metolazone Nitroso Impurity 1</v>
      </c>
      <c r="C572" s="3" t="str">
        <f>HYPERLINK("https://www.kmpharma.in/product/20644","KMM118010")</f>
        <v>KMM118010</v>
      </c>
      <c r="D572" s="3" t="s">
        <v>7</v>
      </c>
      <c r="E572" s="5" t="s">
        <v>321</v>
      </c>
    </row>
    <row r="573" spans="1:5" x14ac:dyDescent="0.25">
      <c r="A573" s="6">
        <v>572</v>
      </c>
      <c r="B573" s="6" t="str">
        <f>HYPERLINK("https://www.kmpharma.in/product/20645","Metolazone Nitroso Impurity 2")</f>
        <v>Metolazone Nitroso Impurity 2</v>
      </c>
      <c r="C573" s="6" t="str">
        <f>HYPERLINK("https://www.kmpharma.in/product/20645","KMM118011")</f>
        <v>KMM118011</v>
      </c>
      <c r="D573" s="6" t="s">
        <v>7</v>
      </c>
      <c r="E573" s="7" t="s">
        <v>321</v>
      </c>
    </row>
    <row r="574" spans="1:5" x14ac:dyDescent="0.25">
      <c r="A574" s="3">
        <v>573</v>
      </c>
      <c r="B574" s="3" t="str">
        <f>HYPERLINK("https://www.kmpharma.in/product/20646","Metolazone Nitroso Impurity 3")</f>
        <v>Metolazone Nitroso Impurity 3</v>
      </c>
      <c r="C574" s="3" t="str">
        <f>HYPERLINK("https://www.kmpharma.in/product/20646","KMM118012")</f>
        <v>KMM118012</v>
      </c>
      <c r="D574" s="3" t="s">
        <v>7</v>
      </c>
      <c r="E574" s="5" t="s">
        <v>321</v>
      </c>
    </row>
    <row r="575" spans="1:5" x14ac:dyDescent="0.25">
      <c r="A575" s="6">
        <v>574</v>
      </c>
      <c r="B575" s="6" t="str">
        <f>HYPERLINK("https://www.kmpharma.in/product/20647","Metolazone Nitroso Impurity 4")</f>
        <v>Metolazone Nitroso Impurity 4</v>
      </c>
      <c r="C575" s="6" t="str">
        <f>HYPERLINK("https://www.kmpharma.in/product/20647","KMM118013")</f>
        <v>KMM118013</v>
      </c>
      <c r="D575" s="6" t="s">
        <v>7</v>
      </c>
      <c r="E575" s="7" t="s">
        <v>321</v>
      </c>
    </row>
    <row r="576" spans="1:5" x14ac:dyDescent="0.25">
      <c r="A576" s="3">
        <v>575</v>
      </c>
      <c r="B576" s="3" t="str">
        <f>HYPERLINK("https://www.kmpharma.in/product/20651","Metopimazine Nitroso Impurity 1")</f>
        <v>Metopimazine Nitroso Impurity 1</v>
      </c>
      <c r="C576" s="3" t="str">
        <f>HYPERLINK("https://www.kmpharma.in/product/20651","KMM120003")</f>
        <v>KMM120003</v>
      </c>
      <c r="D576" s="3" t="s">
        <v>77</v>
      </c>
      <c r="E576" s="5" t="s">
        <v>321</v>
      </c>
    </row>
    <row r="577" spans="1:5" x14ac:dyDescent="0.25">
      <c r="A577" s="6">
        <v>576</v>
      </c>
      <c r="B577" s="6" t="str">
        <f>HYPERLINK("https://www.kmpharma.in/product/20652","Metopimazine Nitroso Impurity 2")</f>
        <v>Metopimazine Nitroso Impurity 2</v>
      </c>
      <c r="C577" s="6" t="str">
        <f>HYPERLINK("https://www.kmpharma.in/product/20652","KMM120004")</f>
        <v>KMM120004</v>
      </c>
      <c r="D577" s="6" t="s">
        <v>7</v>
      </c>
      <c r="E577" s="7" t="s">
        <v>321</v>
      </c>
    </row>
    <row r="578" spans="1:5" x14ac:dyDescent="0.25">
      <c r="A578" s="3">
        <v>577</v>
      </c>
      <c r="B578" s="3" t="str">
        <f>HYPERLINK("https://www.kmpharma.in/product/20735","Metronidazole Nitroso Impurity 2")</f>
        <v>Metronidazole Nitroso Impurity 2</v>
      </c>
      <c r="C578" s="3" t="str">
        <f>HYPERLINK("https://www.kmpharma.in/product/20735","KMM122021")</f>
        <v>KMM122021</v>
      </c>
      <c r="D578" s="3" t="s">
        <v>7</v>
      </c>
      <c r="E578" s="5" t="s">
        <v>321</v>
      </c>
    </row>
    <row r="579" spans="1:5" x14ac:dyDescent="0.25">
      <c r="A579" s="6">
        <v>578</v>
      </c>
      <c r="B579" s="6" t="str">
        <f>HYPERLINK("https://www.kmpharma.in/product/20736","Metronidazole Nitroso Impurity 4")</f>
        <v>Metronidazole Nitroso Impurity 4</v>
      </c>
      <c r="C579" s="6" t="str">
        <f>HYPERLINK("https://www.kmpharma.in/product/20736","KMM122022")</f>
        <v>KMM122022</v>
      </c>
      <c r="D579" s="6" t="s">
        <v>7</v>
      </c>
      <c r="E579" s="7" t="s">
        <v>321</v>
      </c>
    </row>
    <row r="580" spans="1:5" x14ac:dyDescent="0.25">
      <c r="A580" s="3">
        <v>579</v>
      </c>
      <c r="B580" s="3" t="str">
        <f>HYPERLINK("https://www.kmpharma.in/product/20737","Metronidazole Nitroso Impurity 5")</f>
        <v>Metronidazole Nitroso Impurity 5</v>
      </c>
      <c r="C580" s="3" t="str">
        <f>HYPERLINK("https://www.kmpharma.in/product/20737","KMM122023")</f>
        <v>KMM122023</v>
      </c>
      <c r="D580" s="3" t="s">
        <v>7</v>
      </c>
      <c r="E580" s="5" t="s">
        <v>321</v>
      </c>
    </row>
    <row r="581" spans="1:5" x14ac:dyDescent="0.25">
      <c r="A581" s="6">
        <v>580</v>
      </c>
      <c r="B581" s="6" t="str">
        <f>HYPERLINK("https://www.kmpharma.in/product/36894","Midazolam Nitroso Impurity 1")</f>
        <v>Midazolam Nitroso Impurity 1</v>
      </c>
      <c r="C581" s="6" t="str">
        <f>HYPERLINK("https://www.kmpharma.in/product/36894","KMM128031")</f>
        <v>KMM128031</v>
      </c>
      <c r="D581" s="6" t="s">
        <v>7</v>
      </c>
      <c r="E581" s="7" t="s">
        <v>323</v>
      </c>
    </row>
    <row r="582" spans="1:5" x14ac:dyDescent="0.25">
      <c r="A582" s="3">
        <v>581</v>
      </c>
      <c r="B582" s="3" t="str">
        <f>HYPERLINK("https://www.kmpharma.in/product/36895","Midazolam Nitroso Impurity 2")</f>
        <v>Midazolam Nitroso Impurity 2</v>
      </c>
      <c r="C582" s="3" t="str">
        <f>HYPERLINK("https://www.kmpharma.in/product/36895","KMM128032")</f>
        <v>KMM128032</v>
      </c>
      <c r="D582" s="3" t="s">
        <v>7</v>
      </c>
      <c r="E582" s="5" t="s">
        <v>321</v>
      </c>
    </row>
    <row r="583" spans="1:5" x14ac:dyDescent="0.25">
      <c r="A583" s="6">
        <v>582</v>
      </c>
      <c r="B583" s="6" t="str">
        <f>HYPERLINK("https://www.kmpharma.in/product/36896","Midazolam Nitroso Impurity 3")</f>
        <v>Midazolam Nitroso Impurity 3</v>
      </c>
      <c r="C583" s="6" t="str">
        <f>HYPERLINK("https://www.kmpharma.in/product/36896","KMM128033")</f>
        <v>KMM128033</v>
      </c>
      <c r="D583" s="6" t="s">
        <v>7</v>
      </c>
      <c r="E583" s="7" t="s">
        <v>321</v>
      </c>
    </row>
    <row r="584" spans="1:5" x14ac:dyDescent="0.25">
      <c r="A584" s="3">
        <v>583</v>
      </c>
      <c r="B584" s="3" t="str">
        <f>HYPERLINK("https://www.kmpharma.in/product/36897","Midazolam Nitroso Impurity 4")</f>
        <v>Midazolam Nitroso Impurity 4</v>
      </c>
      <c r="C584" s="3" t="str">
        <f>HYPERLINK("https://www.kmpharma.in/product/36897","KMM128034")</f>
        <v>KMM128034</v>
      </c>
      <c r="D584" s="3" t="s">
        <v>7</v>
      </c>
      <c r="E584" s="5" t="s">
        <v>321</v>
      </c>
    </row>
    <row r="585" spans="1:5" x14ac:dyDescent="0.25">
      <c r="A585" s="6">
        <v>584</v>
      </c>
      <c r="B585" s="6" t="str">
        <f>HYPERLINK("https://www.kmpharma.in/product/20833","Midodrine Nitroso Impurity 1")</f>
        <v>Midodrine Nitroso Impurity 1</v>
      </c>
      <c r="C585" s="6" t="str">
        <f>HYPERLINK("https://www.kmpharma.in/product/20833","KMM129018")</f>
        <v>KMM129018</v>
      </c>
      <c r="D585" s="6" t="s">
        <v>7</v>
      </c>
      <c r="E585" s="7" t="s">
        <v>321</v>
      </c>
    </row>
    <row r="586" spans="1:5" x14ac:dyDescent="0.25">
      <c r="A586" s="3">
        <v>585</v>
      </c>
      <c r="B586" s="3" t="str">
        <f>HYPERLINK("https://www.kmpharma.in/product/20899","Migalastat Nitroso Impurity 1")</f>
        <v>Migalastat Nitroso Impurity 1</v>
      </c>
      <c r="C586" s="3" t="str">
        <f>HYPERLINK("https://www.kmpharma.in/product/20899","KMM132018")</f>
        <v>KMM132018</v>
      </c>
      <c r="D586" s="3" t="s">
        <v>7</v>
      </c>
      <c r="E586" s="5" t="s">
        <v>321</v>
      </c>
    </row>
    <row r="587" spans="1:5" x14ac:dyDescent="0.25">
      <c r="A587" s="6">
        <v>586</v>
      </c>
      <c r="B587" s="6" t="str">
        <f>HYPERLINK("https://www.kmpharma.in/product/21138","Mirabegron Nitroso Impurity 2")</f>
        <v>Mirabegron Nitroso Impurity 2</v>
      </c>
      <c r="C587" s="6" t="str">
        <f>HYPERLINK("https://www.kmpharma.in/product/21138","KMM003104")</f>
        <v>KMM003104</v>
      </c>
      <c r="D587" s="6" t="s">
        <v>7</v>
      </c>
      <c r="E587" s="7" t="s">
        <v>321</v>
      </c>
    </row>
    <row r="588" spans="1:5" x14ac:dyDescent="0.25">
      <c r="A588" s="3">
        <v>587</v>
      </c>
      <c r="B588" s="3" t="str">
        <f>HYPERLINK("https://www.kmpharma.in/product/21144","Mirabegron Nitroso Impurity 4")</f>
        <v>Mirabegron Nitroso Impurity 4</v>
      </c>
      <c r="C588" s="3" t="str">
        <f>HYPERLINK("https://www.kmpharma.in/product/21144","KMM003105")</f>
        <v>KMM003105</v>
      </c>
      <c r="D588" s="3" t="s">
        <v>7</v>
      </c>
      <c r="E588" s="5" t="s">
        <v>321</v>
      </c>
    </row>
    <row r="589" spans="1:5" x14ac:dyDescent="0.25">
      <c r="A589" s="6">
        <v>588</v>
      </c>
      <c r="B589" s="6" t="str">
        <f>HYPERLINK("https://www.kmpharma.in/product/21145","Mirabegron Nitroso Impurity 5")</f>
        <v>Mirabegron Nitroso Impurity 5</v>
      </c>
      <c r="C589" s="6" t="str">
        <f>HYPERLINK("https://www.kmpharma.in/product/21145","KMM003106")</f>
        <v>KMM003106</v>
      </c>
      <c r="D589" s="6" t="s">
        <v>7</v>
      </c>
      <c r="E589" s="7" t="s">
        <v>323</v>
      </c>
    </row>
    <row r="590" spans="1:5" x14ac:dyDescent="0.25">
      <c r="A590" s="3">
        <v>589</v>
      </c>
      <c r="B590" s="3" t="str">
        <f>HYPERLINK("https://www.kmpharma.in/product/21194","Mirtazapine Nitroso Impurity 1")</f>
        <v>Mirtazapine Nitroso Impurity 1</v>
      </c>
      <c r="C590" s="3" t="str">
        <f>HYPERLINK("https://www.kmpharma.in/product/21194","KMM020028")</f>
        <v>KMM020028</v>
      </c>
      <c r="D590" s="3" t="s">
        <v>7</v>
      </c>
      <c r="E590" s="5" t="s">
        <v>321</v>
      </c>
    </row>
    <row r="591" spans="1:5" x14ac:dyDescent="0.25">
      <c r="A591" s="6">
        <v>590</v>
      </c>
      <c r="B591" s="6" t="str">
        <f>HYPERLINK("https://www.kmpharma.in/product/21195","Mirtazapine Nitroso Impurity 2")</f>
        <v>Mirtazapine Nitroso Impurity 2</v>
      </c>
      <c r="C591" s="6" t="str">
        <f>HYPERLINK("https://www.kmpharma.in/product/21195","KMM020029")</f>
        <v>KMM020029</v>
      </c>
      <c r="D591" s="6" t="s">
        <v>7</v>
      </c>
      <c r="E591" s="7" t="s">
        <v>321</v>
      </c>
    </row>
    <row r="592" spans="1:5" x14ac:dyDescent="0.25">
      <c r="A592" s="3">
        <v>591</v>
      </c>
      <c r="B592" s="3" t="str">
        <f>HYPERLINK("https://www.kmpharma.in/product/21232","Mitapivat Desethylcyclopropane Nitroso Impurity")</f>
        <v>Mitapivat Desethylcyclopropane Nitroso Impurity</v>
      </c>
      <c r="C592" s="3" t="str">
        <f>HYPERLINK("https://www.kmpharma.in/product/21232","KMM147005")</f>
        <v>KMM147005</v>
      </c>
      <c r="D592" s="3" t="s">
        <v>7</v>
      </c>
      <c r="E592" s="5" t="s">
        <v>321</v>
      </c>
    </row>
    <row r="593" spans="1:5" x14ac:dyDescent="0.25">
      <c r="A593" s="6">
        <v>592</v>
      </c>
      <c r="B593" s="6" t="str">
        <f>HYPERLINK("https://www.kmpharma.in/product/21252","Mitomycin Nitroso Impurity 1")</f>
        <v>Mitomycin Nitroso Impurity 1</v>
      </c>
      <c r="C593" s="6" t="str">
        <f>HYPERLINK("https://www.kmpharma.in/product/21252","KMM148017")</f>
        <v>KMM148017</v>
      </c>
      <c r="D593" s="6" t="s">
        <v>7</v>
      </c>
      <c r="E593" s="7" t="s">
        <v>321</v>
      </c>
    </row>
    <row r="594" spans="1:5" x14ac:dyDescent="0.25">
      <c r="A594" s="3">
        <v>593</v>
      </c>
      <c r="B594" s="3" t="str">
        <f>HYPERLINK("https://www.kmpharma.in/product/21262","Mitoxantrone Nitroso Impurity 2")</f>
        <v>Mitoxantrone Nitroso Impurity 2</v>
      </c>
      <c r="C594" s="3" t="str">
        <f>HYPERLINK("https://www.kmpharma.in/product/21262","KMM150007")</f>
        <v>KMM150007</v>
      </c>
      <c r="D594" s="3" t="s">
        <v>7</v>
      </c>
      <c r="E594" s="5" t="s">
        <v>321</v>
      </c>
    </row>
    <row r="595" spans="1:5" x14ac:dyDescent="0.25">
      <c r="A595" s="6">
        <v>594</v>
      </c>
      <c r="B595" s="6" t="str">
        <f>HYPERLINK("https://www.kmpharma.in/product/15090","Mixture of N-nitroso Gentamicin")</f>
        <v>Mixture of N-nitroso Gentamicin</v>
      </c>
      <c r="C595" s="6" t="str">
        <f>HYPERLINK("https://www.kmpharma.in/product/15090","KMG028026")</f>
        <v>KMG028026</v>
      </c>
      <c r="D595" s="6" t="s">
        <v>7</v>
      </c>
      <c r="E595" s="6" t="s">
        <v>16</v>
      </c>
    </row>
    <row r="596" spans="1:5" x14ac:dyDescent="0.25">
      <c r="A596" s="3">
        <v>595</v>
      </c>
      <c r="B596" s="3" t="str">
        <f>HYPERLINK("https://www.kmpharma.in/product/21340","Moexipril Nitroso Impurity 1")</f>
        <v>Moexipril Nitroso Impurity 1</v>
      </c>
      <c r="C596" s="3" t="str">
        <f>HYPERLINK("https://www.kmpharma.in/product/21340","KMM156003")</f>
        <v>KMM156003</v>
      </c>
      <c r="D596" s="3" t="s">
        <v>7</v>
      </c>
      <c r="E596" s="5" t="s">
        <v>321</v>
      </c>
    </row>
    <row r="597" spans="1:5" x14ac:dyDescent="0.25">
      <c r="A597" s="6">
        <v>596</v>
      </c>
      <c r="B597" s="6" t="str">
        <f>HYPERLINK("https://www.kmpharma.in/product/21341","Moexipril Nitroso Impurity 2")</f>
        <v>Moexipril Nitroso Impurity 2</v>
      </c>
      <c r="C597" s="6" t="str">
        <f>HYPERLINK("https://www.kmpharma.in/product/21341","KMM156004")</f>
        <v>KMM156004</v>
      </c>
      <c r="D597" s="6" t="s">
        <v>7</v>
      </c>
      <c r="E597" s="7" t="s">
        <v>321</v>
      </c>
    </row>
    <row r="598" spans="1:5" x14ac:dyDescent="0.25">
      <c r="A598" s="3">
        <v>597</v>
      </c>
      <c r="B598" s="3" t="str">
        <f>HYPERLINK("https://www.kmpharma.in/product/21342","Moexipril Nitroso Impurity 3")</f>
        <v>Moexipril Nitroso Impurity 3</v>
      </c>
      <c r="C598" s="3" t="str">
        <f>HYPERLINK("https://www.kmpharma.in/product/21342","KMM156005")</f>
        <v>KMM156005</v>
      </c>
      <c r="D598" s="3" t="s">
        <v>7</v>
      </c>
      <c r="E598" s="5" t="s">
        <v>321</v>
      </c>
    </row>
    <row r="599" spans="1:5" x14ac:dyDescent="0.25">
      <c r="A599" s="6">
        <v>598</v>
      </c>
      <c r="B599" s="6" t="str">
        <f>HYPERLINK("https://www.kmpharma.in/product/21354","Molindone Nitroso Impurity 1")</f>
        <v>Molindone Nitroso Impurity 1</v>
      </c>
      <c r="C599" s="6" t="str">
        <f>HYPERLINK("https://www.kmpharma.in/product/21354","KMM157009")</f>
        <v>KMM157009</v>
      </c>
      <c r="D599" s="6" t="s">
        <v>7</v>
      </c>
      <c r="E599" s="6" t="s">
        <v>16</v>
      </c>
    </row>
    <row r="600" spans="1:5" x14ac:dyDescent="0.25">
      <c r="A600" s="3">
        <v>599</v>
      </c>
      <c r="B600" s="3" t="str">
        <f>HYPERLINK("https://www.kmpharma.in/product/8129","Mono-Nitroso-Clonidine")</f>
        <v>Mono-Nitroso-Clonidine</v>
      </c>
      <c r="C600" s="3" t="str">
        <f>HYPERLINK("https://www.kmpharma.in/product/8129","KMC003028")</f>
        <v>KMC003028</v>
      </c>
      <c r="D600" s="3" t="s">
        <v>78</v>
      </c>
      <c r="E600" s="5" t="s">
        <v>323</v>
      </c>
    </row>
    <row r="601" spans="1:5" x14ac:dyDescent="0.25">
      <c r="A601" s="6">
        <v>600</v>
      </c>
      <c r="B601" s="6" t="str">
        <f>HYPERLINK("https://www.kmpharma.in/product/5479","Mononitroso Caffeidine")</f>
        <v>Mononitroso Caffeidine</v>
      </c>
      <c r="C601" s="6" t="str">
        <f>HYPERLINK("https://www.kmpharma.in/product/5479","KMC041020")</f>
        <v>KMC041020</v>
      </c>
      <c r="D601" s="6" t="s">
        <v>79</v>
      </c>
      <c r="E601" s="7" t="s">
        <v>321</v>
      </c>
    </row>
    <row r="602" spans="1:5" x14ac:dyDescent="0.25">
      <c r="A602" s="3">
        <v>601</v>
      </c>
      <c r="B602" s="3" t="str">
        <f>HYPERLINK("https://www.kmpharma.in/product/12546","Mononitroso Ethambutol")</f>
        <v>Mononitroso Ethambutol</v>
      </c>
      <c r="C602" s="3" t="str">
        <f>HYPERLINK("https://www.kmpharma.in/product/12546","KME021014")</f>
        <v>KME021014</v>
      </c>
      <c r="D602" s="3" t="s">
        <v>7</v>
      </c>
      <c r="E602" s="5" t="s">
        <v>321</v>
      </c>
    </row>
    <row r="603" spans="1:5" x14ac:dyDescent="0.25">
      <c r="A603" s="6">
        <v>602</v>
      </c>
      <c r="B603" s="6" t="str">
        <f>HYPERLINK("https://www.kmpharma.in/product/12540","Mononitroso Ethambutol D4")</f>
        <v>Mononitroso Ethambutol D4</v>
      </c>
      <c r="C603" s="6" t="str">
        <f>HYPERLINK("https://www.kmpharma.in/product/12540","KME021015")</f>
        <v>KME021015</v>
      </c>
      <c r="D603" s="6" t="s">
        <v>7</v>
      </c>
      <c r="E603" s="7" t="s">
        <v>321</v>
      </c>
    </row>
    <row r="604" spans="1:5" x14ac:dyDescent="0.25">
      <c r="A604" s="3">
        <v>603</v>
      </c>
      <c r="B604" s="3" t="str">
        <f>HYPERLINK("https://www.kmpharma.in/product/36723","Mononitroso Methyltetrahydrofolate")</f>
        <v>Mononitroso Methyltetrahydrofolate</v>
      </c>
      <c r="C604" s="3" t="str">
        <f>HYPERLINK("https://www.kmpharma.in/product/36723","KML069019")</f>
        <v>KML069019</v>
      </c>
      <c r="D604" s="3" t="s">
        <v>7</v>
      </c>
      <c r="E604" s="5" t="s">
        <v>323</v>
      </c>
    </row>
    <row r="605" spans="1:5" x14ac:dyDescent="0.25">
      <c r="A605" s="6">
        <v>604</v>
      </c>
      <c r="B605" s="6" t="str">
        <f>HYPERLINK("https://www.kmpharma.in/product/188","Mononitroso Piperazine")</f>
        <v>Mononitroso Piperazine</v>
      </c>
      <c r="C605" s="6" t="str">
        <f>HYPERLINK("https://www.kmpharma.in/product/188","KMN001006")</f>
        <v>KMN001006</v>
      </c>
      <c r="D605" s="6" t="s">
        <v>80</v>
      </c>
      <c r="E605" s="7" t="s">
        <v>323</v>
      </c>
    </row>
    <row r="606" spans="1:5" x14ac:dyDescent="0.25">
      <c r="A606" s="3">
        <v>605</v>
      </c>
      <c r="B606" s="3" t="str">
        <f>HYPERLINK("https://www.kmpharma.in/product/28604","Mononitroso Rilpivirine - II")</f>
        <v>Mononitroso Rilpivirine - II</v>
      </c>
      <c r="C606" s="3" t="str">
        <f>HYPERLINK("https://www.kmpharma.in/product/28604","KMR059003")</f>
        <v>KMR059003</v>
      </c>
      <c r="D606" s="3" t="s">
        <v>7</v>
      </c>
      <c r="E606" s="3" t="s">
        <v>16</v>
      </c>
    </row>
    <row r="607" spans="1:5" x14ac:dyDescent="0.25">
      <c r="A607" s="6">
        <v>606</v>
      </c>
      <c r="B607" s="6" t="str">
        <f>HYPERLINK("https://www.kmpharma.in/product/21637","Moxifloxacin Nitroso Impurity 10")</f>
        <v>Moxifloxacin Nitroso Impurity 10</v>
      </c>
      <c r="C607" s="6" t="str">
        <f>HYPERLINK("https://www.kmpharma.in/product/21637","KMM171045")</f>
        <v>KMM171045</v>
      </c>
      <c r="D607" s="6" t="s">
        <v>7</v>
      </c>
      <c r="E607" s="7" t="s">
        <v>321</v>
      </c>
    </row>
    <row r="608" spans="1:5" x14ac:dyDescent="0.25">
      <c r="A608" s="3">
        <v>607</v>
      </c>
      <c r="B608" s="3" t="str">
        <f>HYPERLINK("https://www.kmpharma.in/product/21638","Moxifloxacin Nitroso Impurity 11")</f>
        <v>Moxifloxacin Nitroso Impurity 11</v>
      </c>
      <c r="C608" s="3" t="str">
        <f>HYPERLINK("https://www.kmpharma.in/product/21638","KMM171046")</f>
        <v>KMM171046</v>
      </c>
      <c r="D608" s="3" t="s">
        <v>7</v>
      </c>
      <c r="E608" s="5" t="s">
        <v>323</v>
      </c>
    </row>
    <row r="609" spans="1:5" x14ac:dyDescent="0.25">
      <c r="A609" s="6">
        <v>608</v>
      </c>
      <c r="B609" s="6" t="str">
        <f>HYPERLINK("https://www.kmpharma.in/product/21639","Moxifloxacin Nitroso Impurity 12")</f>
        <v>Moxifloxacin Nitroso Impurity 12</v>
      </c>
      <c r="C609" s="6" t="str">
        <f>HYPERLINK("https://www.kmpharma.in/product/21639","KMM171047")</f>
        <v>KMM171047</v>
      </c>
      <c r="D609" s="6" t="s">
        <v>7</v>
      </c>
      <c r="E609" s="7" t="s">
        <v>323</v>
      </c>
    </row>
    <row r="610" spans="1:5" x14ac:dyDescent="0.25">
      <c r="A610" s="3">
        <v>609</v>
      </c>
      <c r="B610" s="3" t="str">
        <f>HYPERLINK("https://www.kmpharma.in/product/21630","Moxifloxacin Nitroso Impurity 2")</f>
        <v>Moxifloxacin Nitroso Impurity 2</v>
      </c>
      <c r="C610" s="3" t="str">
        <f>HYPERLINK("https://www.kmpharma.in/product/21630","KMM171048")</f>
        <v>KMM171048</v>
      </c>
      <c r="D610" s="3" t="s">
        <v>7</v>
      </c>
      <c r="E610" s="5" t="s">
        <v>321</v>
      </c>
    </row>
    <row r="611" spans="1:5" x14ac:dyDescent="0.25">
      <c r="A611" s="6">
        <v>610</v>
      </c>
      <c r="B611" s="6" t="str">
        <f>HYPERLINK("https://www.kmpharma.in/product/21631","Moxifloxacin Nitroso Impurity 3")</f>
        <v>Moxifloxacin Nitroso Impurity 3</v>
      </c>
      <c r="C611" s="6" t="str">
        <f>HYPERLINK("https://www.kmpharma.in/product/21631","KMM171049")</f>
        <v>KMM171049</v>
      </c>
      <c r="D611" s="6" t="s">
        <v>7</v>
      </c>
      <c r="E611" s="7" t="s">
        <v>321</v>
      </c>
    </row>
    <row r="612" spans="1:5" x14ac:dyDescent="0.25">
      <c r="A612" s="3">
        <v>611</v>
      </c>
      <c r="B612" s="3" t="str">
        <f>HYPERLINK("https://www.kmpharma.in/product/21632","Moxifloxacin Nitroso Impurity 4")</f>
        <v>Moxifloxacin Nitroso Impurity 4</v>
      </c>
      <c r="C612" s="3" t="str">
        <f>HYPERLINK("https://www.kmpharma.in/product/21632","KMM171050")</f>
        <v>KMM171050</v>
      </c>
      <c r="D612" s="3" t="s">
        <v>7</v>
      </c>
      <c r="E612" s="5" t="s">
        <v>321</v>
      </c>
    </row>
    <row r="613" spans="1:5" x14ac:dyDescent="0.25">
      <c r="A613" s="6">
        <v>612</v>
      </c>
      <c r="B613" s="6" t="str">
        <f>HYPERLINK("https://www.kmpharma.in/product/21633","Moxifloxacin Nitroso Impurity 5")</f>
        <v>Moxifloxacin Nitroso Impurity 5</v>
      </c>
      <c r="C613" s="6" t="str">
        <f>HYPERLINK("https://www.kmpharma.in/product/21633","KMM171051")</f>
        <v>KMM171051</v>
      </c>
      <c r="D613" s="6" t="s">
        <v>7</v>
      </c>
      <c r="E613" s="6" t="s">
        <v>16</v>
      </c>
    </row>
    <row r="614" spans="1:5" x14ac:dyDescent="0.25">
      <c r="A614" s="3">
        <v>613</v>
      </c>
      <c r="B614" s="3" t="str">
        <f>HYPERLINK("https://www.kmpharma.in/product/21634","Moxifloxacin Nitroso Impurity 6")</f>
        <v>Moxifloxacin Nitroso Impurity 6</v>
      </c>
      <c r="C614" s="3" t="str">
        <f>HYPERLINK("https://www.kmpharma.in/product/21634","KMM171052")</f>
        <v>KMM171052</v>
      </c>
      <c r="D614" s="3" t="s">
        <v>7</v>
      </c>
      <c r="E614" s="3" t="s">
        <v>16</v>
      </c>
    </row>
    <row r="615" spans="1:5" x14ac:dyDescent="0.25">
      <c r="A615" s="6">
        <v>614</v>
      </c>
      <c r="B615" s="6" t="str">
        <f>HYPERLINK("https://www.kmpharma.in/product/21635","Moxifloxacin Nitroso Impurity 7")</f>
        <v>Moxifloxacin Nitroso Impurity 7</v>
      </c>
      <c r="C615" s="6" t="str">
        <f>HYPERLINK("https://www.kmpharma.in/product/21635","KMM171053")</f>
        <v>KMM171053</v>
      </c>
      <c r="D615" s="6" t="s">
        <v>7</v>
      </c>
      <c r="E615" s="7" t="s">
        <v>321</v>
      </c>
    </row>
    <row r="616" spans="1:5" x14ac:dyDescent="0.25">
      <c r="A616" s="3">
        <v>615</v>
      </c>
      <c r="B616" s="3" t="str">
        <f>HYPERLINK("https://www.kmpharma.in/product/21640","Moxifloxacin Nitroso Impurity 8")</f>
        <v>Moxifloxacin Nitroso Impurity 8</v>
      </c>
      <c r="C616" s="3" t="str">
        <f>HYPERLINK("https://www.kmpharma.in/product/21640","KMM171054")</f>
        <v>KMM171054</v>
      </c>
      <c r="D616" s="3" t="s">
        <v>7</v>
      </c>
      <c r="E616" s="5" t="s">
        <v>321</v>
      </c>
    </row>
    <row r="617" spans="1:5" x14ac:dyDescent="0.25">
      <c r="A617" s="6">
        <v>616</v>
      </c>
      <c r="B617" s="6" t="str">
        <f>HYPERLINK("https://www.kmpharma.in/product/21641","Moxifloxacin Nitroso Impurity 9")</f>
        <v>Moxifloxacin Nitroso Impurity 9</v>
      </c>
      <c r="C617" s="6" t="str">
        <f>HYPERLINK("https://www.kmpharma.in/product/21641","KMM171055")</f>
        <v>KMM171055</v>
      </c>
      <c r="D617" s="6" t="s">
        <v>7</v>
      </c>
      <c r="E617" s="7" t="s">
        <v>322</v>
      </c>
    </row>
    <row r="618" spans="1:5" x14ac:dyDescent="0.25">
      <c r="A618" s="3">
        <v>617</v>
      </c>
      <c r="B618" s="3" t="str">
        <f>HYPERLINK("https://www.kmpharma.in/product/6518","N Nitroso Cefixime EP Impurity A")</f>
        <v>N Nitroso Cefixime EP Impurity A</v>
      </c>
      <c r="C618" s="3" t="str">
        <f>HYPERLINK("https://www.kmpharma.in/product/6518","KMC102028")</f>
        <v>KMC102028</v>
      </c>
      <c r="D618" s="3" t="s">
        <v>7</v>
      </c>
      <c r="E618" s="3" t="s">
        <v>16</v>
      </c>
    </row>
    <row r="619" spans="1:5" x14ac:dyDescent="0.25">
      <c r="A619" s="6">
        <v>618</v>
      </c>
      <c r="B619" s="6" t="str">
        <f>HYPERLINK("https://www.kmpharma.in/product/6515","N Nitroso Cefixime EP Impurity B")</f>
        <v>N Nitroso Cefixime EP Impurity B</v>
      </c>
      <c r="C619" s="6" t="str">
        <f>HYPERLINK("https://www.kmpharma.in/product/6515","KMC102029")</f>
        <v>KMC102029</v>
      </c>
      <c r="D619" s="6" t="s">
        <v>7</v>
      </c>
      <c r="E619" s="6" t="s">
        <v>16</v>
      </c>
    </row>
    <row r="620" spans="1:5" x14ac:dyDescent="0.25">
      <c r="A620" s="3">
        <v>619</v>
      </c>
      <c r="B620" s="3" t="str">
        <f>HYPERLINK("https://www.kmpharma.in/product/18247","N Nitroso Levobunolol")</f>
        <v>N Nitroso Levobunolol</v>
      </c>
      <c r="C620" s="3" t="str">
        <f>HYPERLINK("https://www.kmpharma.in/product/18247","KML063002")</f>
        <v>KML063002</v>
      </c>
      <c r="D620" s="3" t="s">
        <v>7</v>
      </c>
      <c r="E620" s="3" t="s">
        <v>16</v>
      </c>
    </row>
    <row r="621" spans="1:5" x14ac:dyDescent="0.25">
      <c r="A621" s="6">
        <v>620</v>
      </c>
      <c r="B621" s="6" t="str">
        <f>HYPERLINK("https://www.kmpharma.in/product/20634","N Nitroso Metoclopramide")</f>
        <v>N Nitroso Metoclopramide</v>
      </c>
      <c r="C621" s="6" t="str">
        <f>HYPERLINK("https://www.kmpharma.in/product/20634","KMM117022")</f>
        <v>KMM117022</v>
      </c>
      <c r="D621" s="6" t="s">
        <v>7</v>
      </c>
      <c r="E621" s="7" t="s">
        <v>326</v>
      </c>
    </row>
    <row r="622" spans="1:5" x14ac:dyDescent="0.25">
      <c r="A622" s="3">
        <v>621</v>
      </c>
      <c r="B622" s="3" t="str">
        <f>HYPERLINK("https://www.kmpharma.in/product/19072","N- Nitroso desmethyl Loperamide")</f>
        <v>N- Nitroso desmethyl Loperamide</v>
      </c>
      <c r="C622" s="3" t="str">
        <f>HYPERLINK("https://www.kmpharma.in/product/19072","KML092020")</f>
        <v>KML092020</v>
      </c>
      <c r="D622" s="3" t="s">
        <v>7</v>
      </c>
      <c r="E622" s="5" t="s">
        <v>323</v>
      </c>
    </row>
    <row r="623" spans="1:5" x14ac:dyDescent="0.25">
      <c r="A623" s="6">
        <v>622</v>
      </c>
      <c r="B623" s="6" t="str">
        <f>HYPERLINK("https://www.kmpharma.in/product/13415","N-(1-Nitrosopiperidin-4-yl)-N-phenylnitrous amide")</f>
        <v>N-(1-Nitrosopiperidin-4-yl)-N-phenylnitrous amide</v>
      </c>
      <c r="C623" s="6" t="str">
        <f>HYPERLINK("https://www.kmpharma.in/product/13415","KMF038021")</f>
        <v>KMF038021</v>
      </c>
      <c r="D623" s="6" t="s">
        <v>7</v>
      </c>
      <c r="E623" s="7" t="s">
        <v>323</v>
      </c>
    </row>
    <row r="624" spans="1:5" x14ac:dyDescent="0.25">
      <c r="A624" s="3">
        <v>623</v>
      </c>
      <c r="B624" s="3" t="str">
        <f>HYPERLINK("https://www.kmpharma.in/product/13416","N-(1-Nitrosopiperidin-4-yl)-N-phenylpropionamide")</f>
        <v>N-(1-Nitrosopiperidin-4-yl)-N-phenylpropionamide</v>
      </c>
      <c r="C624" s="3" t="str">
        <f>HYPERLINK("https://www.kmpharma.in/product/13416","KMF038022")</f>
        <v>KMF038022</v>
      </c>
      <c r="D624" s="3" t="s">
        <v>7</v>
      </c>
      <c r="E624" s="3" t="s">
        <v>16</v>
      </c>
    </row>
    <row r="625" spans="1:5" x14ac:dyDescent="0.25">
      <c r="A625" s="6">
        <v>624</v>
      </c>
      <c r="B625" s="6" t="str">
        <f>HYPERLINK("https://www.kmpharma.in/product/19041","N-(2-Chloroethyl)-N′,N′-dicyclohexyl-N-nitrosourea")</f>
        <v>N-(2-Chloroethyl)-N′,N′-dicyclohexyl-N-nitrosourea</v>
      </c>
      <c r="C625" s="6" t="str">
        <f>HYPERLINK("https://www.kmpharma.in/product/19041","KML090007")</f>
        <v>KML090007</v>
      </c>
      <c r="D625" s="6" t="s">
        <v>81</v>
      </c>
      <c r="E625" s="7" t="s">
        <v>321</v>
      </c>
    </row>
    <row r="626" spans="1:5" x14ac:dyDescent="0.25">
      <c r="A626" s="3">
        <v>625</v>
      </c>
      <c r="B626" s="3" t="str">
        <f>HYPERLINK("https://www.kmpharma.in/product/22994","N-(2,6-dimethylphenyl)-N-Nitrosoformamide")</f>
        <v>N-(2,6-dimethylphenyl)-N-Nitrosoformamide</v>
      </c>
      <c r="C626" s="3" t="str">
        <f>HYPERLINK("https://www.kmpharma.in/product/22994","KMN084038")</f>
        <v>KMN084038</v>
      </c>
      <c r="D626" s="3" t="s">
        <v>82</v>
      </c>
      <c r="E626" s="3" t="s">
        <v>16</v>
      </c>
    </row>
    <row r="627" spans="1:5" x14ac:dyDescent="0.25">
      <c r="A627" s="6">
        <v>626</v>
      </c>
      <c r="B627" s="6" t="str">
        <f>HYPERLINK("https://www.kmpharma.in/product/34761","N-Acetyl-N-nitroso-tryptophan")</f>
        <v>N-Acetyl-N-nitroso-tryptophan</v>
      </c>
      <c r="C627" s="6" t="str">
        <f>HYPERLINK("https://www.kmpharma.in/product/34761","KMT203007")</f>
        <v>KMT203007</v>
      </c>
      <c r="D627" s="6" t="s">
        <v>83</v>
      </c>
      <c r="E627" s="7" t="s">
        <v>322</v>
      </c>
    </row>
    <row r="628" spans="1:5" x14ac:dyDescent="0.25">
      <c r="A628" s="3">
        <v>627</v>
      </c>
      <c r="B628" s="3" t="str">
        <f>HYPERLINK("https://www.kmpharma.in/product/23002","N-Benzyl-N-Nitrosoacetimidamide")</f>
        <v>N-Benzyl-N-Nitrosoacetimidamide</v>
      </c>
      <c r="C628" s="3" t="str">
        <f>HYPERLINK("https://www.kmpharma.in/product/23002","KMN084044")</f>
        <v>KMN084044</v>
      </c>
      <c r="D628" s="3" t="s">
        <v>7</v>
      </c>
      <c r="E628" s="5" t="s">
        <v>321</v>
      </c>
    </row>
    <row r="629" spans="1:5" x14ac:dyDescent="0.25">
      <c r="A629" s="6">
        <v>628</v>
      </c>
      <c r="B629" s="6" t="str">
        <f>HYPERLINK("https://www.kmpharma.in/product/9243","N-Boc-N-deshydroxyethyl Dasatinib Nitroso Impurity ")</f>
        <v>N-Boc-N-deshydroxyethyl Dasatinib Nitroso Impurity </v>
      </c>
      <c r="C629" s="6" t="str">
        <f>HYPERLINK("https://www.kmpharma.in/product/9243","KMD048075")</f>
        <v>KMD048075</v>
      </c>
      <c r="D629" s="6" t="s">
        <v>7</v>
      </c>
      <c r="E629" s="7" t="s">
        <v>321</v>
      </c>
    </row>
    <row r="630" spans="1:5" x14ac:dyDescent="0.25">
      <c r="A630" s="3">
        <v>629</v>
      </c>
      <c r="B630" s="3" t="str">
        <f>HYPERLINK("https://www.kmpharma.in/product/5384","N-Desallyl N-Nitroso Cabergoline")</f>
        <v>N-Desallyl N-Nitroso Cabergoline</v>
      </c>
      <c r="C630" s="3" t="str">
        <f>HYPERLINK("https://www.kmpharma.in/product/5384","KMC036013")</f>
        <v>KMC036013</v>
      </c>
      <c r="D630" s="3" t="s">
        <v>7</v>
      </c>
      <c r="E630" s="3" t="s">
        <v>16</v>
      </c>
    </row>
    <row r="631" spans="1:5" x14ac:dyDescent="0.25">
      <c r="A631" s="6">
        <v>630</v>
      </c>
      <c r="B631" s="6" t="str">
        <f>HYPERLINK("https://www.kmpharma.in/product/20414","N-Desmethyl N-Nitroso Methadone")</f>
        <v>N-Desmethyl N-Nitroso Methadone</v>
      </c>
      <c r="C631" s="6" t="str">
        <f>HYPERLINK("https://www.kmpharma.in/product/20414","KMM095007")</f>
        <v>KMM095007</v>
      </c>
      <c r="D631" s="6" t="s">
        <v>7</v>
      </c>
      <c r="E631" s="7" t="s">
        <v>321</v>
      </c>
    </row>
    <row r="632" spans="1:5" x14ac:dyDescent="0.25">
      <c r="A632" s="3">
        <v>631</v>
      </c>
      <c r="B632" s="3" t="str">
        <f>HYPERLINK("https://www.kmpharma.in/product/23694","N-Desmethyl N-Nitroso Olopatadine Carbaldehyde Impurity")</f>
        <v>N-Desmethyl N-Nitroso Olopatadine Carbaldehyde Impurity</v>
      </c>
      <c r="C632" s="3" t="str">
        <f>HYPERLINK("https://www.kmpharma.in/product/23694","KMO024003")</f>
        <v>KMO024003</v>
      </c>
      <c r="D632" s="3" t="s">
        <v>7</v>
      </c>
      <c r="E632" s="3" t="s">
        <v>16</v>
      </c>
    </row>
    <row r="633" spans="1:5" x14ac:dyDescent="0.25">
      <c r="A633" s="6">
        <v>632</v>
      </c>
      <c r="B633" s="6" t="str">
        <f>HYPERLINK("https://www.kmpharma.in/product/23695","N-Desmethyl N-Nitroso Olopatadine Isopropyl Ester")</f>
        <v>N-Desmethyl N-Nitroso Olopatadine Isopropyl Ester</v>
      </c>
      <c r="C633" s="6" t="str">
        <f>HYPERLINK("https://www.kmpharma.in/product/23695","KMO024004")</f>
        <v>KMO024004</v>
      </c>
      <c r="D633" s="6" t="s">
        <v>7</v>
      </c>
      <c r="E633" s="7" t="s">
        <v>321</v>
      </c>
    </row>
    <row r="634" spans="1:5" x14ac:dyDescent="0.25">
      <c r="A634" s="3">
        <v>633</v>
      </c>
      <c r="B634" s="3" t="str">
        <f>HYPERLINK("https://www.kmpharma.in/product/31947","N-Desmethyl N-Nitroso Tapentadol")</f>
        <v>N-Desmethyl N-Nitroso Tapentadol</v>
      </c>
      <c r="C634" s="3" t="str">
        <f>HYPERLINK("https://www.kmpharma.in/product/31947","KMT037001")</f>
        <v>KMT037001</v>
      </c>
      <c r="D634" s="3" t="s">
        <v>7</v>
      </c>
      <c r="E634" s="5" t="s">
        <v>321</v>
      </c>
    </row>
    <row r="635" spans="1:5" x14ac:dyDescent="0.25">
      <c r="A635" s="6">
        <v>634</v>
      </c>
      <c r="B635" s="6" t="str">
        <f>HYPERLINK("https://www.kmpharma.in/product/32969","N-Desmethyl-N-Nitroso-Tetracycline")</f>
        <v>N-Desmethyl-N-Nitroso-Tetracycline</v>
      </c>
      <c r="C635" s="6" t="str">
        <f>HYPERLINK("https://www.kmpharma.in/product/32969","KMT086002")</f>
        <v>KMT086002</v>
      </c>
      <c r="D635" s="6" t="s">
        <v>7</v>
      </c>
      <c r="E635" s="7" t="s">
        <v>321</v>
      </c>
    </row>
    <row r="636" spans="1:5" x14ac:dyDescent="0.25">
      <c r="A636" s="3">
        <v>635</v>
      </c>
      <c r="B636" s="3" t="str">
        <f>HYPERLINK("https://www.kmpharma.in/product/34982","N-Dinitroso Almotriptan")</f>
        <v>N-Dinitroso Almotriptan</v>
      </c>
      <c r="C636" s="3" t="str">
        <f>HYPERLINK("https://www.kmpharma.in/product/34982","KMA098025")</f>
        <v>KMA098025</v>
      </c>
      <c r="D636" s="3" t="s">
        <v>7</v>
      </c>
      <c r="E636" s="5" t="s">
        <v>321</v>
      </c>
    </row>
    <row r="637" spans="1:5" x14ac:dyDescent="0.25">
      <c r="A637" s="6">
        <v>636</v>
      </c>
      <c r="B637" s="6" t="str">
        <f>HYPERLINK("https://www.kmpharma.in/product/39445","N-Dinitroso N-Desmethyl Zolmitriptan")</f>
        <v>N-Dinitroso N-Desmethyl Zolmitriptan</v>
      </c>
      <c r="C637" s="6" t="str">
        <f>HYPERLINK("https://www.kmpharma.in/product/39445","KMZ001004")</f>
        <v>KMZ001004</v>
      </c>
      <c r="D637" s="6" t="s">
        <v>7</v>
      </c>
      <c r="E637" s="7" t="s">
        <v>321</v>
      </c>
    </row>
    <row r="638" spans="1:5" x14ac:dyDescent="0.25">
      <c r="A638" s="3">
        <v>637</v>
      </c>
      <c r="B638" s="3" t="str">
        <f>HYPERLINK("https://www.kmpharma.in/product/12293","N-Ethyl Esmolol Nitroso Impurity")</f>
        <v>N-Ethyl Esmolol Nitroso Impurity</v>
      </c>
      <c r="C638" s="3" t="str">
        <f>HYPERLINK("https://www.kmpharma.in/product/12293","KME006018")</f>
        <v>KME006018</v>
      </c>
      <c r="D638" s="3" t="s">
        <v>7</v>
      </c>
      <c r="E638" s="5" t="s">
        <v>321</v>
      </c>
    </row>
    <row r="639" spans="1:5" x14ac:dyDescent="0.25">
      <c r="A639" s="6">
        <v>638</v>
      </c>
      <c r="B639" s="6" t="str">
        <f>HYPERLINK("https://www.kmpharma.in/product/22915","N-Ethyl-N-nitroso-2-propanamine-d5")</f>
        <v>N-Ethyl-N-nitroso-2-propanamine-d5</v>
      </c>
      <c r="C639" s="6" t="str">
        <f>HYPERLINK("https://www.kmpharma.in/product/22915","KMN084046")</f>
        <v>KMN084046</v>
      </c>
      <c r="D639" s="6" t="s">
        <v>7</v>
      </c>
      <c r="E639" s="7" t="s">
        <v>321</v>
      </c>
    </row>
    <row r="640" spans="1:5" x14ac:dyDescent="0.25">
      <c r="A640" s="3">
        <v>639</v>
      </c>
      <c r="B640" s="3" t="str">
        <f>HYPERLINK("https://www.kmpharma.in/product/23064","N-Methyl N-Nitroso p-toluenesulfonamide")</f>
        <v>N-Methyl N-Nitroso p-toluenesulfonamide</v>
      </c>
      <c r="C640" s="3" t="str">
        <f>HYPERLINK("https://www.kmpharma.in/product/23064","KMN084047")</f>
        <v>KMN084047</v>
      </c>
      <c r="D640" s="3" t="s">
        <v>84</v>
      </c>
      <c r="E640" s="5" t="s">
        <v>321</v>
      </c>
    </row>
    <row r="641" spans="1:5" x14ac:dyDescent="0.25">
      <c r="A641" s="6">
        <v>640</v>
      </c>
      <c r="B641" s="6" t="str">
        <f>HYPERLINK("https://www.kmpharma.in/product/23065","N-methyl-N-nitroso Acetamide")</f>
        <v>N-methyl-N-nitroso Acetamide</v>
      </c>
      <c r="C641" s="6" t="str">
        <f>HYPERLINK("https://www.kmpharma.in/product/23065","KMN084049")</f>
        <v>KMN084049</v>
      </c>
      <c r="D641" s="6" t="s">
        <v>85</v>
      </c>
      <c r="E641" s="7" t="s">
        <v>321</v>
      </c>
    </row>
    <row r="642" spans="1:5" x14ac:dyDescent="0.25">
      <c r="A642" s="3">
        <v>641</v>
      </c>
      <c r="B642" s="3" t="str">
        <f>HYPERLINK("https://www.kmpharma.in/product/22959","N-Methyl-N-Nitroso p-Toluidine")</f>
        <v>N-Methyl-N-Nitroso p-Toluidine</v>
      </c>
      <c r="C642" s="3" t="str">
        <f>HYPERLINK("https://www.kmpharma.in/product/22959","KMN084050")</f>
        <v>KMN084050</v>
      </c>
      <c r="D642" s="3" t="s">
        <v>86</v>
      </c>
      <c r="E642" s="5" t="s">
        <v>321</v>
      </c>
    </row>
    <row r="643" spans="1:5" x14ac:dyDescent="0.25">
      <c r="A643" s="6">
        <v>642</v>
      </c>
      <c r="B643" s="6" t="str">
        <f>HYPERLINK("https://www.kmpharma.in/product/39564","N-Methyl-N’-Nitrosopiperazine")</f>
        <v>N-Methyl-N’-Nitrosopiperazine</v>
      </c>
      <c r="C643" s="6" t="str">
        <f>HYPERLINK("https://www.kmpharma.in/product/39564","KMN001017")</f>
        <v>KMN001017</v>
      </c>
      <c r="D643" s="6" t="s">
        <v>87</v>
      </c>
      <c r="E643" s="7" t="s">
        <v>321</v>
      </c>
    </row>
    <row r="644" spans="1:5" x14ac:dyDescent="0.25">
      <c r="A644" s="3">
        <v>643</v>
      </c>
      <c r="B644" s="3" t="str">
        <f>HYPERLINK("https://www.kmpharma.in/product/7984","N-Nitroso -2,6 Dichloro Purine")</f>
        <v>N-Nitroso -2,6 Dichloro Purine</v>
      </c>
      <c r="C644" s="3" t="str">
        <f>HYPERLINK("https://www.kmpharma.in/product/7984","KMC199027")</f>
        <v>KMC199027</v>
      </c>
      <c r="D644" s="3" t="s">
        <v>88</v>
      </c>
      <c r="E644" s="5" t="s">
        <v>321</v>
      </c>
    </row>
    <row r="645" spans="1:5" x14ac:dyDescent="0.25">
      <c r="A645" s="6">
        <v>644</v>
      </c>
      <c r="B645" s="6" t="str">
        <f>HYPERLINK("https://www.kmpharma.in/product/29526","N-Nitroso -N-Demethyl Roxithromycin")</f>
        <v>N-Nitroso -N-Demethyl Roxithromycin</v>
      </c>
      <c r="C645" s="6" t="str">
        <f>HYPERLINK("https://www.kmpharma.in/product/29526","KMR088004")</f>
        <v>KMR088004</v>
      </c>
      <c r="D645" s="6" t="s">
        <v>7</v>
      </c>
      <c r="E645" s="7" t="s">
        <v>321</v>
      </c>
    </row>
    <row r="646" spans="1:5" x14ac:dyDescent="0.25">
      <c r="A646" s="3">
        <v>645</v>
      </c>
      <c r="B646" s="3" t="str">
        <f>HYPERLINK("https://www.kmpharma.in/product/23166","N-Nitroso (±)-Epinephrine")</f>
        <v>N-Nitroso (±)-Epinephrine</v>
      </c>
      <c r="C646" s="3" t="str">
        <f>HYPERLINK("https://www.kmpharma.in/product/23166","KMN006006")</f>
        <v>KMN006006</v>
      </c>
      <c r="D646" s="3" t="s">
        <v>7</v>
      </c>
      <c r="E646" s="5" t="s">
        <v>321</v>
      </c>
    </row>
    <row r="647" spans="1:5" x14ac:dyDescent="0.25">
      <c r="A647" s="6">
        <v>646</v>
      </c>
      <c r="B647" s="6" t="str">
        <f>HYPERLINK("https://www.kmpharma.in/product/4473","N-Nitroso (15R)-Bimatoprost")</f>
        <v>N-Nitroso (15R)-Bimatoprost</v>
      </c>
      <c r="C647" s="6" t="str">
        <f>HYPERLINK("https://www.kmpharma.in/product/4473","KMB077025")</f>
        <v>KMB077025</v>
      </c>
      <c r="D647" s="6" t="s">
        <v>7</v>
      </c>
      <c r="E647" s="7" t="s">
        <v>321</v>
      </c>
    </row>
    <row r="648" spans="1:5" x14ac:dyDescent="0.25">
      <c r="A648" s="3">
        <v>647</v>
      </c>
      <c r="B648" s="3" t="str">
        <f>HYPERLINK("https://www.kmpharma.in/product/14041","N-Nitroso (E)-N-Methylcinnamylamine")</f>
        <v>N-Nitroso (E)-N-Methylcinnamylamine</v>
      </c>
      <c r="C648" s="3" t="str">
        <f>HYPERLINK("https://www.kmpharma.in/product/14041","KMF001038")</f>
        <v>KMF001038</v>
      </c>
      <c r="D648" s="3" t="s">
        <v>7</v>
      </c>
      <c r="E648" s="5" t="s">
        <v>321</v>
      </c>
    </row>
    <row r="649" spans="1:5" x14ac:dyDescent="0.25">
      <c r="A649" s="6">
        <v>648</v>
      </c>
      <c r="B649" s="6" t="str">
        <f>HYPERLINK("https://www.kmpharma.in/product/14464","N-nitroso (S,S)-formoterol")</f>
        <v>N-nitroso (S,S)-formoterol</v>
      </c>
      <c r="C649" s="6" t="str">
        <f>HYPERLINK("https://www.kmpharma.in/product/14464","KMF104073")</f>
        <v>KMF104073</v>
      </c>
      <c r="D649" s="6" t="s">
        <v>7</v>
      </c>
      <c r="E649" s="7" t="s">
        <v>321</v>
      </c>
    </row>
    <row r="650" spans="1:5" x14ac:dyDescent="0.25">
      <c r="A650" s="3">
        <v>649</v>
      </c>
      <c r="B650" s="3" t="str">
        <f>HYPERLINK("https://www.kmpharma.in/product/10757","N-Nitroso 2-acetyl-2-decarbamoyldoxycycline")</f>
        <v>N-Nitroso 2-acetyl-2-decarbamoyldoxycycline</v>
      </c>
      <c r="C650" s="3" t="str">
        <f>HYPERLINK("https://www.kmpharma.in/product/10757","KMD013018")</f>
        <v>KMD013018</v>
      </c>
      <c r="D650" s="3" t="s">
        <v>7</v>
      </c>
      <c r="E650" s="5" t="s">
        <v>323</v>
      </c>
    </row>
    <row r="651" spans="1:5" x14ac:dyDescent="0.25">
      <c r="A651" s="6">
        <v>650</v>
      </c>
      <c r="B651" s="6" t="str">
        <f>HYPERLINK("https://www.kmpharma.in/product/34983","N-Nitroso 2-Hydroxyalmotriptan")</f>
        <v>N-Nitroso 2-Hydroxyalmotriptan</v>
      </c>
      <c r="C651" s="6" t="str">
        <f>HYPERLINK("https://www.kmpharma.in/product/34983","KMA098026")</f>
        <v>KMA098026</v>
      </c>
      <c r="D651" s="6" t="s">
        <v>7</v>
      </c>
      <c r="E651" s="7" t="s">
        <v>323</v>
      </c>
    </row>
    <row r="652" spans="1:5" x14ac:dyDescent="0.25">
      <c r="A652" s="3">
        <v>651</v>
      </c>
      <c r="B652" s="3" t="str">
        <f>HYPERLINK("https://www.kmpharma.in/product/34532","N-Nitroso 2-Trifloromethylphenothiazine")</f>
        <v>N-Nitroso 2-Trifloromethylphenothiazine</v>
      </c>
      <c r="C652" s="3" t="str">
        <f>HYPERLINK("https://www.kmpharma.in/product/34532","KMT180002")</f>
        <v>KMT180002</v>
      </c>
      <c r="D652" s="3" t="s">
        <v>7</v>
      </c>
      <c r="E652" s="5" t="s">
        <v>323</v>
      </c>
    </row>
    <row r="653" spans="1:5" x14ac:dyDescent="0.25">
      <c r="A653" s="6">
        <v>652</v>
      </c>
      <c r="B653" s="6" t="str">
        <f>HYPERLINK("https://www.kmpharma.in/product/30403","N-Nitroso 2,3-Dichloro Sertraline")</f>
        <v>N-Nitroso 2,3-Dichloro Sertraline</v>
      </c>
      <c r="C653" s="6" t="str">
        <f>HYPERLINK("https://www.kmpharma.in/product/30403","KMS003013")</f>
        <v>KMS003013</v>
      </c>
      <c r="D653" s="6" t="s">
        <v>7</v>
      </c>
      <c r="E653" s="7" t="s">
        <v>323</v>
      </c>
    </row>
    <row r="654" spans="1:5" x14ac:dyDescent="0.25">
      <c r="A654" s="3">
        <v>653</v>
      </c>
      <c r="B654" s="3" t="str">
        <f>HYPERLINK("https://www.kmpharma.in/product/27023","N-Nitroso 4-Chlorophenothiazine")</f>
        <v>N-Nitroso 4-Chlorophenothiazine</v>
      </c>
      <c r="C654" s="3" t="str">
        <f>HYPERLINK("https://www.kmpharma.in/product/27023","KMP017007")</f>
        <v>KMP017007</v>
      </c>
      <c r="D654" s="3" t="s">
        <v>7</v>
      </c>
      <c r="E654" s="5" t="s">
        <v>321</v>
      </c>
    </row>
    <row r="655" spans="1:5" x14ac:dyDescent="0.25">
      <c r="A655" s="6">
        <v>654</v>
      </c>
      <c r="B655" s="6" t="str">
        <f>HYPERLINK("https://www.kmpharma.in/product/23125","N-Nitroso 4'-O-Methyl Norbelladine")</f>
        <v>N-Nitroso 4'-O-Methyl Norbelladine</v>
      </c>
      <c r="C655" s="6" t="str">
        <f>HYPERLINK("https://www.kmpharma.in/product/23125","KMN091002")</f>
        <v>KMN091002</v>
      </c>
      <c r="D655" s="6" t="s">
        <v>7</v>
      </c>
      <c r="E655" s="7" t="s">
        <v>321</v>
      </c>
    </row>
    <row r="656" spans="1:5" x14ac:dyDescent="0.25">
      <c r="A656" s="3">
        <v>655</v>
      </c>
      <c r="B656" s="3" t="str">
        <f>HYPERLINK("https://www.kmpharma.in/product/15734","N-Nitroso 5-Chloro Hydrochlorothiazide")</f>
        <v>N-Nitroso 5-Chloro Hydrochlorothiazide</v>
      </c>
      <c r="C656" s="3" t="str">
        <f>HYPERLINK("https://www.kmpharma.in/product/15734","KMH003049")</f>
        <v>KMH003049</v>
      </c>
      <c r="D656" s="3" t="s">
        <v>7</v>
      </c>
      <c r="E656" s="5" t="s">
        <v>321</v>
      </c>
    </row>
    <row r="657" spans="1:5" x14ac:dyDescent="0.25">
      <c r="A657" s="6">
        <v>656</v>
      </c>
      <c r="B657" s="6" t="str">
        <f>HYPERLINK("https://www.kmpharma.in/product/33948","N-Nitroso 5,6-Dihydro Tofacitinib")</f>
        <v>N-Nitroso 5,6-Dihydro Tofacitinib</v>
      </c>
      <c r="C657" s="6" t="str">
        <f>HYPERLINK("https://www.kmpharma.in/product/33948","KMT136010")</f>
        <v>KMT136010</v>
      </c>
      <c r="D657" s="6" t="s">
        <v>7</v>
      </c>
      <c r="E657" s="6" t="s">
        <v>16</v>
      </c>
    </row>
    <row r="658" spans="1:5" x14ac:dyDescent="0.25">
      <c r="A658" s="3">
        <v>657</v>
      </c>
      <c r="B658" s="3" t="str">
        <f>HYPERLINK("https://www.kmpharma.in/product/22177","N-Nitroso 6-O-Methylguanine")</f>
        <v>N-Nitroso 6-O-Methylguanine</v>
      </c>
      <c r="C658" s="3" t="str">
        <f>HYPERLINK("https://www.kmpharma.in/product/22177","KMN043004")</f>
        <v>KMN043004</v>
      </c>
      <c r="D658" s="3" t="s">
        <v>7</v>
      </c>
      <c r="E658" s="3" t="s">
        <v>16</v>
      </c>
    </row>
    <row r="659" spans="1:5" x14ac:dyDescent="0.25">
      <c r="A659" s="6">
        <v>658</v>
      </c>
      <c r="B659" s="6" t="str">
        <f>HYPERLINK("https://www.kmpharma.in/product/21815","N-Nitroso 6α-Noroxymorphol")</f>
        <v>N-Nitroso 6α-Noroxymorphol</v>
      </c>
      <c r="C659" s="6" t="str">
        <f>HYPERLINK("https://www.kmpharma.in/product/21815","KMN021008")</f>
        <v>KMN021008</v>
      </c>
      <c r="D659" s="6" t="s">
        <v>7</v>
      </c>
      <c r="E659" s="6" t="s">
        <v>16</v>
      </c>
    </row>
    <row r="660" spans="1:5" x14ac:dyDescent="0.25">
      <c r="A660" s="3">
        <v>659</v>
      </c>
      <c r="B660" s="3" t="str">
        <f>HYPERLINK("https://www.kmpharma.in/product/570","N-Nitroso Abacavir")</f>
        <v>N-Nitroso Abacavir</v>
      </c>
      <c r="C660" s="3" t="str">
        <f>HYPERLINK("https://www.kmpharma.in/product/570","KMA021038")</f>
        <v>KMA021038</v>
      </c>
      <c r="D660" s="3" t="s">
        <v>7</v>
      </c>
      <c r="E660" s="5" t="s">
        <v>321</v>
      </c>
    </row>
    <row r="661" spans="1:5" x14ac:dyDescent="0.25">
      <c r="A661" s="6">
        <v>660</v>
      </c>
      <c r="B661" s="6" t="str">
        <f>HYPERLINK("https://www.kmpharma.in/product/571","N-Nitroso Abacavir EP Impurity A")</f>
        <v>N-Nitroso Abacavir EP Impurity A</v>
      </c>
      <c r="C661" s="6" t="str">
        <f>HYPERLINK("https://www.kmpharma.in/product/571","KMA021039")</f>
        <v>KMA021039</v>
      </c>
      <c r="D661" s="6" t="s">
        <v>7</v>
      </c>
      <c r="E661" s="7" t="s">
        <v>321</v>
      </c>
    </row>
    <row r="662" spans="1:5" x14ac:dyDescent="0.25">
      <c r="A662" s="3">
        <v>661</v>
      </c>
      <c r="B662" s="3" t="str">
        <f>HYPERLINK("https://www.kmpharma.in/product/34946","N-Nitroso Abiraterone Acetate")</f>
        <v>N-Nitroso Abiraterone Acetate</v>
      </c>
      <c r="C662" s="3" t="str">
        <f>HYPERLINK("https://www.kmpharma.in/product/34946","KMA041091")</f>
        <v>KMA041091</v>
      </c>
      <c r="D662" s="3" t="s">
        <v>7</v>
      </c>
      <c r="E662" s="5" t="s">
        <v>321</v>
      </c>
    </row>
    <row r="663" spans="1:5" x14ac:dyDescent="0.25">
      <c r="A663" s="6">
        <v>662</v>
      </c>
      <c r="B663" s="6" t="str">
        <f>HYPERLINK("https://www.kmpharma.in/product/706","N-Nitroso Acarbose")</f>
        <v>N-Nitroso Acarbose</v>
      </c>
      <c r="C663" s="6" t="str">
        <f>HYPERLINK("https://www.kmpharma.in/product/706","KMA045010")</f>
        <v>KMA045010</v>
      </c>
      <c r="D663" s="6" t="s">
        <v>7</v>
      </c>
      <c r="E663" s="7" t="s">
        <v>321</v>
      </c>
    </row>
    <row r="664" spans="1:5" x14ac:dyDescent="0.25">
      <c r="A664" s="3">
        <v>663</v>
      </c>
      <c r="B664" s="3" t="str">
        <f>HYPERLINK("https://www.kmpharma.in/product/23067","N-Nitroso Acetone Semicarbazone")</f>
        <v>N-Nitroso Acetone Semicarbazone</v>
      </c>
      <c r="C664" s="3" t="str">
        <f>HYPERLINK("https://www.kmpharma.in/product/23067","KMN084053")</f>
        <v>KMN084053</v>
      </c>
      <c r="D664" s="3" t="s">
        <v>7</v>
      </c>
      <c r="E664" s="5" t="s">
        <v>321</v>
      </c>
    </row>
    <row r="665" spans="1:5" x14ac:dyDescent="0.25">
      <c r="A665" s="6">
        <v>664</v>
      </c>
      <c r="B665" s="6" t="str">
        <f>HYPERLINK("https://www.kmpharma.in/product/817","N-Nitroso Acetylcysteine")</f>
        <v>N-Nitroso Acetylcysteine</v>
      </c>
      <c r="C665" s="6" t="str">
        <f>HYPERLINK("https://www.kmpharma.in/product/817","KMA056021")</f>
        <v>KMA056021</v>
      </c>
      <c r="D665" s="6" t="s">
        <v>7</v>
      </c>
      <c r="E665" s="7" t="s">
        <v>321</v>
      </c>
    </row>
    <row r="666" spans="1:5" x14ac:dyDescent="0.25">
      <c r="A666" s="3">
        <v>665</v>
      </c>
      <c r="B666" s="3" t="str">
        <f>HYPERLINK("https://www.kmpharma.in/product/857","N-Nitroso Aciclovir")</f>
        <v>N-Nitroso Aciclovir</v>
      </c>
      <c r="C666" s="3" t="str">
        <f>HYPERLINK("https://www.kmpharma.in/product/857","KMA059031")</f>
        <v>KMA059031</v>
      </c>
      <c r="D666" s="3" t="s">
        <v>7</v>
      </c>
      <c r="E666" s="5" t="s">
        <v>321</v>
      </c>
    </row>
    <row r="667" spans="1:5" x14ac:dyDescent="0.25">
      <c r="A667" s="6">
        <v>666</v>
      </c>
      <c r="B667" s="6" t="str">
        <f>HYPERLINK("https://www.kmpharma.in/product/856","N-Nitroso Aciclovir EP Impurity K")</f>
        <v>N-Nitroso Aciclovir EP Impurity K</v>
      </c>
      <c r="C667" s="6" t="str">
        <f>HYPERLINK("https://www.kmpharma.in/product/856","KMA059032")</f>
        <v>KMA059032</v>
      </c>
      <c r="D667" s="6" t="s">
        <v>7</v>
      </c>
      <c r="E667" s="7" t="s">
        <v>321</v>
      </c>
    </row>
    <row r="668" spans="1:5" x14ac:dyDescent="0.25">
      <c r="A668" s="3">
        <v>667</v>
      </c>
      <c r="B668" s="3" t="str">
        <f>HYPERLINK("https://www.kmpharma.in/product/897","N-Nitroso Adagrasib")</f>
        <v>N-Nitroso Adagrasib</v>
      </c>
      <c r="C668" s="3" t="str">
        <f>HYPERLINK("https://www.kmpharma.in/product/897","KMA063013")</f>
        <v>KMA063013</v>
      </c>
      <c r="D668" s="3" t="s">
        <v>7</v>
      </c>
      <c r="E668" s="5" t="s">
        <v>321</v>
      </c>
    </row>
    <row r="669" spans="1:5" x14ac:dyDescent="0.25">
      <c r="A669" s="6">
        <v>668</v>
      </c>
      <c r="B669" s="6" t="str">
        <f>HYPERLINK("https://www.kmpharma.in/product/984","N-Nitroso Adrenaline EP Impurity F")</f>
        <v>N-Nitroso Adrenaline EP Impurity F</v>
      </c>
      <c r="C669" s="6" t="str">
        <f>HYPERLINK("https://www.kmpharma.in/product/984","KMA069017")</f>
        <v>KMA069017</v>
      </c>
      <c r="D669" s="6" t="s">
        <v>7</v>
      </c>
      <c r="E669" s="7" t="s">
        <v>321</v>
      </c>
    </row>
    <row r="670" spans="1:5" x14ac:dyDescent="0.25">
      <c r="A670" s="3">
        <v>669</v>
      </c>
      <c r="B670" s="3" t="str">
        <f>HYPERLINK("https://www.kmpharma.in/product/1102","N-Nitroso Agomelatine")</f>
        <v>N-Nitroso Agomelatine</v>
      </c>
      <c r="C670" s="3" t="str">
        <f>HYPERLINK("https://www.kmpharma.in/product/1102","KMA023037")</f>
        <v>KMA023037</v>
      </c>
      <c r="D670" s="3" t="s">
        <v>7</v>
      </c>
      <c r="E670" s="5" t="s">
        <v>321</v>
      </c>
    </row>
    <row r="671" spans="1:5" x14ac:dyDescent="0.25">
      <c r="A671" s="6">
        <v>670</v>
      </c>
      <c r="B671" s="6" t="str">
        <f>HYPERLINK("https://www.kmpharma.in/product/1144","N-Nitroso Albendazole")</f>
        <v>N-Nitroso Albendazole</v>
      </c>
      <c r="C671" s="6" t="str">
        <f>HYPERLINK("https://www.kmpharma.in/product/1144","KMA077041")</f>
        <v>KMA077041</v>
      </c>
      <c r="D671" s="6" t="s">
        <v>7</v>
      </c>
      <c r="E671" s="7" t="s">
        <v>321</v>
      </c>
    </row>
    <row r="672" spans="1:5" x14ac:dyDescent="0.25">
      <c r="A672" s="3">
        <v>671</v>
      </c>
      <c r="B672" s="3" t="str">
        <f>HYPERLINK("https://www.kmpharma.in/product/29587","N-Nitroso Aldehyde of Rupatadine")</f>
        <v>N-Nitroso Aldehyde of Rupatadine</v>
      </c>
      <c r="C672" s="3" t="str">
        <f>HYPERLINK("https://www.kmpharma.in/product/29587","KMR091001")</f>
        <v>KMR091001</v>
      </c>
      <c r="D672" s="3" t="s">
        <v>7</v>
      </c>
      <c r="E672" s="5" t="s">
        <v>321</v>
      </c>
    </row>
    <row r="673" spans="1:5" x14ac:dyDescent="0.25">
      <c r="A673" s="6">
        <v>672</v>
      </c>
      <c r="B673" s="6" t="str">
        <f>HYPERLINK("https://www.kmpharma.in/product/1258","N-Nitroso Alfuzosin EP Impurity C")</f>
        <v>N-Nitroso Alfuzosin EP Impurity C</v>
      </c>
      <c r="C673" s="6" t="str">
        <f>HYPERLINK("https://www.kmpharma.in/product/1258","KMA089016")</f>
        <v>KMA089016</v>
      </c>
      <c r="D673" s="6" t="s">
        <v>7</v>
      </c>
      <c r="E673" s="7" t="s">
        <v>321</v>
      </c>
    </row>
    <row r="674" spans="1:5" x14ac:dyDescent="0.25">
      <c r="A674" s="3">
        <v>673</v>
      </c>
      <c r="B674" s="3" t="str">
        <f>HYPERLINK("https://www.kmpharma.in/product/1259","N-Nitroso Alfuzosin EP Impurity G")</f>
        <v>N-Nitroso Alfuzosin EP Impurity G</v>
      </c>
      <c r="C674" s="3" t="str">
        <f>HYPERLINK("https://www.kmpharma.in/product/1259","KMA089017")</f>
        <v>KMA089017</v>
      </c>
      <c r="D674" s="3" t="s">
        <v>7</v>
      </c>
      <c r="E674" s="5" t="s">
        <v>321</v>
      </c>
    </row>
    <row r="675" spans="1:5" x14ac:dyDescent="0.25">
      <c r="A675" s="6">
        <v>674</v>
      </c>
      <c r="B675" s="6" t="str">
        <f>HYPERLINK("https://www.kmpharma.in/product/34972","N-Nitroso Almotriptan EP Impurity A (Possibility 1)")</f>
        <v>N-Nitroso Almotriptan EP Impurity A (Possibility 1)</v>
      </c>
      <c r="C675" s="6" t="str">
        <f>HYPERLINK("https://www.kmpharma.in/product/34972","KMA098027")</f>
        <v>KMA098027</v>
      </c>
      <c r="D675" s="6" t="s">
        <v>7</v>
      </c>
      <c r="E675" s="7" t="s">
        <v>321</v>
      </c>
    </row>
    <row r="676" spans="1:5" x14ac:dyDescent="0.25">
      <c r="A676" s="3">
        <v>675</v>
      </c>
      <c r="B676" s="3" t="str">
        <f>HYPERLINK("https://www.kmpharma.in/product/34973","N-Nitroso Almotriptan EP Impurity A (Possibility 2)")</f>
        <v>N-Nitroso Almotriptan EP Impurity A (Possibility 2)</v>
      </c>
      <c r="C676" s="3" t="str">
        <f>HYPERLINK("https://www.kmpharma.in/product/34973","KMA098028")</f>
        <v>KMA098028</v>
      </c>
      <c r="D676" s="3" t="s">
        <v>7</v>
      </c>
      <c r="E676" s="5" t="s">
        <v>321</v>
      </c>
    </row>
    <row r="677" spans="1:5" x14ac:dyDescent="0.25">
      <c r="A677" s="6">
        <v>676</v>
      </c>
      <c r="B677" s="6" t="str">
        <f>HYPERLINK("https://www.kmpharma.in/product/34971","N-Nitroso Almotriptan EP Impurity A-D3")</f>
        <v>N-Nitroso Almotriptan EP Impurity A-D3</v>
      </c>
      <c r="C677" s="6" t="str">
        <f>HYPERLINK("https://www.kmpharma.in/product/34971","KMA098029")</f>
        <v>KMA098029</v>
      </c>
      <c r="D677" s="6" t="s">
        <v>7</v>
      </c>
      <c r="E677" s="7" t="s">
        <v>321</v>
      </c>
    </row>
    <row r="678" spans="1:5" x14ac:dyDescent="0.25">
      <c r="A678" s="3">
        <v>677</v>
      </c>
      <c r="B678" s="3" t="str">
        <f>HYPERLINK("https://www.kmpharma.in/product/34974","N-Nitroso Almotriptan EP Impurity B (Possibility 1)")</f>
        <v>N-Nitroso Almotriptan EP Impurity B (Possibility 1)</v>
      </c>
      <c r="C678" s="3" t="str">
        <f>HYPERLINK("https://www.kmpharma.in/product/34974","KMA098030")</f>
        <v>KMA098030</v>
      </c>
      <c r="D678" s="3" t="s">
        <v>7</v>
      </c>
      <c r="E678" s="5" t="s">
        <v>321</v>
      </c>
    </row>
    <row r="679" spans="1:5" x14ac:dyDescent="0.25">
      <c r="A679" s="6">
        <v>678</v>
      </c>
      <c r="B679" s="6" t="str">
        <f>HYPERLINK("https://www.kmpharma.in/product/34975","N-Nitroso Almotriptan EP Impurity B (Possibility 2)")</f>
        <v>N-Nitroso Almotriptan EP Impurity B (Possibility 2)</v>
      </c>
      <c r="C679" s="6" t="str">
        <f>HYPERLINK("https://www.kmpharma.in/product/34975","KMA098031")</f>
        <v>KMA098031</v>
      </c>
      <c r="D679" s="6" t="s">
        <v>7</v>
      </c>
      <c r="E679" s="7" t="s">
        <v>321</v>
      </c>
    </row>
    <row r="680" spans="1:5" x14ac:dyDescent="0.25">
      <c r="A680" s="3">
        <v>679</v>
      </c>
      <c r="B680" s="3" t="str">
        <f>HYPERLINK("https://www.kmpharma.in/product/34976","N-Nitroso Almotriptan EP Impurity B (Possibility 3)")</f>
        <v>N-Nitroso Almotriptan EP Impurity B (Possibility 3)</v>
      </c>
      <c r="C680" s="3" t="str">
        <f>HYPERLINK("https://www.kmpharma.in/product/34976","KMA098032")</f>
        <v>KMA098032</v>
      </c>
      <c r="D680" s="3" t="s">
        <v>7</v>
      </c>
      <c r="E680" s="5" t="s">
        <v>321</v>
      </c>
    </row>
    <row r="681" spans="1:5" x14ac:dyDescent="0.25">
      <c r="A681" s="6">
        <v>680</v>
      </c>
      <c r="B681" s="6" t="str">
        <f>HYPERLINK("https://www.kmpharma.in/product/34977","N-Nitroso Almotriptan EP Impurity D")</f>
        <v>N-Nitroso Almotriptan EP Impurity D</v>
      </c>
      <c r="C681" s="6" t="str">
        <f>HYPERLINK("https://www.kmpharma.in/product/34977","KMA098033")</f>
        <v>KMA098033</v>
      </c>
      <c r="D681" s="6" t="s">
        <v>7</v>
      </c>
      <c r="E681" s="7" t="s">
        <v>321</v>
      </c>
    </row>
    <row r="682" spans="1:5" x14ac:dyDescent="0.25">
      <c r="A682" s="3">
        <v>681</v>
      </c>
      <c r="B682" s="3" t="str">
        <f>HYPERLINK("https://www.kmpharma.in/product/34984","N-Nitroso Almotriptan EP Impurity E")</f>
        <v>N-Nitroso Almotriptan EP Impurity E</v>
      </c>
      <c r="C682" s="3" t="str">
        <f>HYPERLINK("https://www.kmpharma.in/product/34984","KMA098034")</f>
        <v>KMA098034</v>
      </c>
      <c r="D682" s="3" t="s">
        <v>7</v>
      </c>
      <c r="E682" s="5" t="s">
        <v>321</v>
      </c>
    </row>
    <row r="683" spans="1:5" x14ac:dyDescent="0.25">
      <c r="A683" s="6">
        <v>682</v>
      </c>
      <c r="B683" s="6" t="str">
        <f>HYPERLINK("https://www.kmpharma.in/product/34978","N-Nitroso Almotriptan EP Impurity F")</f>
        <v>N-Nitroso Almotriptan EP Impurity F</v>
      </c>
      <c r="C683" s="6" t="str">
        <f>HYPERLINK("https://www.kmpharma.in/product/34978","KMA098035")</f>
        <v>KMA098035</v>
      </c>
      <c r="D683" s="6" t="s">
        <v>7</v>
      </c>
      <c r="E683" s="7" t="s">
        <v>321</v>
      </c>
    </row>
    <row r="684" spans="1:5" x14ac:dyDescent="0.25">
      <c r="A684" s="3">
        <v>683</v>
      </c>
      <c r="B684" s="3" t="str">
        <f>HYPERLINK("https://www.kmpharma.in/product/1421","N-Nitroso Alprazolam EP Impurity H")</f>
        <v>N-Nitroso Alprazolam EP Impurity H</v>
      </c>
      <c r="C684" s="3" t="str">
        <f>HYPERLINK("https://www.kmpharma.in/product/1421","KMA104012")</f>
        <v>KMA104012</v>
      </c>
      <c r="D684" s="3" t="s">
        <v>7</v>
      </c>
      <c r="E684" s="5" t="s">
        <v>321</v>
      </c>
    </row>
    <row r="685" spans="1:5" x14ac:dyDescent="0.25">
      <c r="A685" s="6">
        <v>684</v>
      </c>
      <c r="B685" s="6" t="str">
        <f>HYPERLINK("https://www.kmpharma.in/product/1422","N-Nitroso Alprazolam USP Related Compound A")</f>
        <v>N-Nitroso Alprazolam USP Related Compound A</v>
      </c>
      <c r="C685" s="6" t="str">
        <f>HYPERLINK("https://www.kmpharma.in/product/1422","KMA104013")</f>
        <v>KMA104013</v>
      </c>
      <c r="D685" s="6" t="s">
        <v>7</v>
      </c>
      <c r="E685" s="7" t="s">
        <v>321</v>
      </c>
    </row>
    <row r="686" spans="1:5" x14ac:dyDescent="0.25">
      <c r="A686" s="3">
        <v>685</v>
      </c>
      <c r="B686" s="3" t="str">
        <f>HYPERLINK("https://www.kmpharma.in/product/1446","N-Nitroso Altizide")</f>
        <v>N-Nitroso Altizide</v>
      </c>
      <c r="C686" s="3" t="str">
        <f>HYPERLINK("https://www.kmpharma.in/product/1446","KMA108005")</f>
        <v>KMA108005</v>
      </c>
      <c r="D686" s="3" t="s">
        <v>7</v>
      </c>
      <c r="E686" s="3" t="s">
        <v>16</v>
      </c>
    </row>
    <row r="687" spans="1:5" x14ac:dyDescent="0.25">
      <c r="A687" s="6">
        <v>686</v>
      </c>
      <c r="B687" s="6" t="str">
        <f>HYPERLINK("https://www.kmpharma.in/product/1470","N-Nitroso Alverine EP Impurity C")</f>
        <v>N-Nitroso Alverine EP Impurity C</v>
      </c>
      <c r="C687" s="6" t="str">
        <f>HYPERLINK("https://www.kmpharma.in/product/1470","KMA033019")</f>
        <v>KMA033019</v>
      </c>
      <c r="D687" s="6" t="s">
        <v>7</v>
      </c>
      <c r="E687" s="7" t="s">
        <v>321</v>
      </c>
    </row>
    <row r="688" spans="1:5" x14ac:dyDescent="0.25">
      <c r="A688" s="3">
        <v>687</v>
      </c>
      <c r="B688" s="3" t="str">
        <f>HYPERLINK("https://www.kmpharma.in/product/1645","N-Nitroso Amikacin")</f>
        <v>N-Nitroso Amikacin</v>
      </c>
      <c r="C688" s="3" t="str">
        <f>HYPERLINK("https://www.kmpharma.in/product/1645","KMA120016")</f>
        <v>KMA120016</v>
      </c>
      <c r="D688" s="3" t="s">
        <v>7</v>
      </c>
      <c r="E688" s="3" t="s">
        <v>16</v>
      </c>
    </row>
    <row r="689" spans="1:5" x14ac:dyDescent="0.25">
      <c r="A689" s="6">
        <v>688</v>
      </c>
      <c r="B689" s="6" t="str">
        <f>HYPERLINK("https://www.kmpharma.in/product/14307","N-Nitroso Aminoethyl Desmethoxy Fluvoxamine")</f>
        <v>N-Nitroso Aminoethyl Desmethoxy Fluvoxamine</v>
      </c>
      <c r="C689" s="6" t="str">
        <f>HYPERLINK("https://www.kmpharma.in/product/14307","KMF100033")</f>
        <v>KMF100033</v>
      </c>
      <c r="D689" s="6" t="s">
        <v>7</v>
      </c>
      <c r="E689" s="7" t="s">
        <v>321</v>
      </c>
    </row>
    <row r="690" spans="1:5" x14ac:dyDescent="0.25">
      <c r="A690" s="3">
        <v>689</v>
      </c>
      <c r="B690" s="3" t="str">
        <f>HYPERLINK("https://www.kmpharma.in/product/1701","N-Nitroso Amiodarone EP Impurity B")</f>
        <v>N-Nitroso Amiodarone EP Impurity B</v>
      </c>
      <c r="C690" s="3" t="str">
        <f>HYPERLINK("https://www.kmpharma.in/product/1701","KMA009026")</f>
        <v>KMA009026</v>
      </c>
      <c r="D690" s="3" t="s">
        <v>89</v>
      </c>
      <c r="E690" s="5" t="s">
        <v>321</v>
      </c>
    </row>
    <row r="691" spans="1:5" x14ac:dyDescent="0.25">
      <c r="A691" s="6">
        <v>690</v>
      </c>
      <c r="B691" s="6" t="str">
        <f>HYPERLINK("https://www.kmpharma.in/product/35099","N-Nitroso Amlodipine")</f>
        <v>N-Nitroso Amlodipine</v>
      </c>
      <c r="C691" s="6" t="str">
        <f>HYPERLINK("https://www.kmpharma.in/product/35099","KMA011104")</f>
        <v>KMA011104</v>
      </c>
      <c r="D691" s="6" t="s">
        <v>7</v>
      </c>
      <c r="E691" s="7" t="s">
        <v>321</v>
      </c>
    </row>
    <row r="692" spans="1:5" x14ac:dyDescent="0.25">
      <c r="A692" s="3">
        <v>691</v>
      </c>
      <c r="B692" s="3" t="str">
        <f>HYPERLINK("https://www.kmpharma.in/product/35100","N-Nitroso Amlodipine EP Impurity A")</f>
        <v>N-Nitroso Amlodipine EP Impurity A</v>
      </c>
      <c r="C692" s="3" t="str">
        <f>HYPERLINK("https://www.kmpharma.in/product/35100","KMA011105")</f>
        <v>KMA011105</v>
      </c>
      <c r="D692" s="3" t="s">
        <v>7</v>
      </c>
      <c r="E692" s="5" t="s">
        <v>321</v>
      </c>
    </row>
    <row r="693" spans="1:5" x14ac:dyDescent="0.25">
      <c r="A693" s="6">
        <v>692</v>
      </c>
      <c r="B693" s="6" t="str">
        <f>HYPERLINK("https://www.kmpharma.in/product/35092","N-Nitroso Amlodipine EP Impurity E")</f>
        <v>N-Nitroso Amlodipine EP Impurity E</v>
      </c>
      <c r="C693" s="6" t="str">
        <f>HYPERLINK("https://www.kmpharma.in/product/35092","KMA011106")</f>
        <v>KMA011106</v>
      </c>
      <c r="D693" s="6" t="s">
        <v>7</v>
      </c>
      <c r="E693" s="7" t="s">
        <v>321</v>
      </c>
    </row>
    <row r="694" spans="1:5" x14ac:dyDescent="0.25">
      <c r="A694" s="3">
        <v>693</v>
      </c>
      <c r="B694" s="3" t="str">
        <f>HYPERLINK("https://www.kmpharma.in/product/35093","N-Nitroso Amlodipine EP Impurity F")</f>
        <v>N-Nitroso Amlodipine EP Impurity F</v>
      </c>
      <c r="C694" s="3" t="str">
        <f>HYPERLINK("https://www.kmpharma.in/product/35093","KMA011107")</f>
        <v>KMA011107</v>
      </c>
      <c r="D694" s="3" t="s">
        <v>7</v>
      </c>
      <c r="E694" s="5" t="s">
        <v>321</v>
      </c>
    </row>
    <row r="695" spans="1:5" x14ac:dyDescent="0.25">
      <c r="A695" s="6">
        <v>694</v>
      </c>
      <c r="B695" s="6" t="str">
        <f>HYPERLINK("https://www.kmpharma.in/product/35094","N-Nitroso Amlodipine Impurity-1")</f>
        <v>N-Nitroso Amlodipine Impurity-1</v>
      </c>
      <c r="C695" s="6" t="str">
        <f>HYPERLINK("https://www.kmpharma.in/product/35094","KMA011108")</f>
        <v>KMA011108</v>
      </c>
      <c r="D695" s="6" t="s">
        <v>7</v>
      </c>
      <c r="E695" s="7" t="s">
        <v>321</v>
      </c>
    </row>
    <row r="696" spans="1:5" x14ac:dyDescent="0.25">
      <c r="A696" s="3">
        <v>695</v>
      </c>
      <c r="B696" s="3" t="str">
        <f>HYPERLINK("https://www.kmpharma.in/product/35095","N-Nitroso Amlodipine Methyl Ester")</f>
        <v>N-Nitroso Amlodipine Methyl Ester</v>
      </c>
      <c r="C696" s="3" t="str">
        <f>HYPERLINK("https://www.kmpharma.in/product/35095","KMA011109")</f>
        <v>KMA011109</v>
      </c>
      <c r="D696" s="3" t="s">
        <v>7</v>
      </c>
      <c r="E696" s="5" t="s">
        <v>321</v>
      </c>
    </row>
    <row r="697" spans="1:5" x14ac:dyDescent="0.25">
      <c r="A697" s="6">
        <v>696</v>
      </c>
      <c r="B697" s="6" t="str">
        <f>HYPERLINK("https://www.kmpharma.in/product/1851","N-Nitroso Amoxicillin Dimer Impurity -1")</f>
        <v>N-Nitroso Amoxicillin Dimer Impurity -1</v>
      </c>
      <c r="C697" s="6" t="str">
        <f>HYPERLINK("https://www.kmpharma.in/product/1851","KMA129046")</f>
        <v>KMA129046</v>
      </c>
      <c r="D697" s="6" t="s">
        <v>7</v>
      </c>
      <c r="E697" s="7" t="s">
        <v>321</v>
      </c>
    </row>
    <row r="698" spans="1:5" x14ac:dyDescent="0.25">
      <c r="A698" s="3">
        <v>697</v>
      </c>
      <c r="B698" s="3" t="str">
        <f>HYPERLINK("https://www.kmpharma.in/product/1852","N-Nitroso Amoxicillin Dimer Impurity -2")</f>
        <v>N-Nitroso Amoxicillin Dimer Impurity -2</v>
      </c>
      <c r="C698" s="3" t="str">
        <f>HYPERLINK("https://www.kmpharma.in/product/1852","KMA129047")</f>
        <v>KMA129047</v>
      </c>
      <c r="D698" s="3" t="s">
        <v>7</v>
      </c>
      <c r="E698" s="3" t="s">
        <v>16</v>
      </c>
    </row>
    <row r="699" spans="1:5" x14ac:dyDescent="0.25">
      <c r="A699" s="6">
        <v>698</v>
      </c>
      <c r="B699" s="6" t="str">
        <f>HYPERLINK("https://www.kmpharma.in/product/1845","N-Nitroso Amoxicillin EP Impurity C")</f>
        <v>N-Nitroso Amoxicillin EP Impurity C</v>
      </c>
      <c r="C699" s="6" t="str">
        <f>HYPERLINK("https://www.kmpharma.in/product/1845","KMA129048")</f>
        <v>KMA129048</v>
      </c>
      <c r="D699" s="6" t="s">
        <v>7</v>
      </c>
      <c r="E699" s="7" t="s">
        <v>321</v>
      </c>
    </row>
    <row r="700" spans="1:5" x14ac:dyDescent="0.25">
      <c r="A700" s="3">
        <v>699</v>
      </c>
      <c r="B700" s="3" t="str">
        <f>HYPERLINK("https://www.kmpharma.in/product/1846","N-Nitroso Amoxicillin EP Impurity D")</f>
        <v>N-Nitroso Amoxicillin EP Impurity D</v>
      </c>
      <c r="C700" s="3" t="str">
        <f>HYPERLINK("https://www.kmpharma.in/product/1846","KMA129049")</f>
        <v>KMA129049</v>
      </c>
      <c r="D700" s="3" t="s">
        <v>7</v>
      </c>
      <c r="E700" s="5" t="s">
        <v>321</v>
      </c>
    </row>
    <row r="701" spans="1:5" x14ac:dyDescent="0.25">
      <c r="A701" s="6">
        <v>700</v>
      </c>
      <c r="B701" s="6" t="str">
        <f>HYPERLINK("https://www.kmpharma.in/product/1847","N-Nitroso Amoxicillin EP Impurity E")</f>
        <v>N-Nitroso Amoxicillin EP Impurity E</v>
      </c>
      <c r="C701" s="6" t="str">
        <f>HYPERLINK("https://www.kmpharma.in/product/1847","KMA129050")</f>
        <v>KMA129050</v>
      </c>
      <c r="D701" s="6" t="s">
        <v>7</v>
      </c>
      <c r="E701" s="7" t="s">
        <v>321</v>
      </c>
    </row>
    <row r="702" spans="1:5" x14ac:dyDescent="0.25">
      <c r="A702" s="3">
        <v>701</v>
      </c>
      <c r="B702" s="3" t="str">
        <f>HYPERLINK("https://www.kmpharma.in/product/1853","N-Nitroso Amoxicillin Impurity")</f>
        <v>N-Nitroso Amoxicillin Impurity</v>
      </c>
      <c r="C702" s="3" t="str">
        <f>HYPERLINK("https://www.kmpharma.in/product/1853","KMA129051")</f>
        <v>KMA129051</v>
      </c>
      <c r="D702" s="3" t="s">
        <v>7</v>
      </c>
      <c r="E702" s="5" t="s">
        <v>321</v>
      </c>
    </row>
    <row r="703" spans="1:5" x14ac:dyDescent="0.25">
      <c r="A703" s="6">
        <v>702</v>
      </c>
      <c r="B703" s="6" t="str">
        <f>HYPERLINK("https://www.kmpharma.in/product/1854","N-Nitroso Amoxicillin Impurity J Dimer")</f>
        <v>N-Nitroso Amoxicillin Impurity J Dimer</v>
      </c>
      <c r="C703" s="6" t="str">
        <f>HYPERLINK("https://www.kmpharma.in/product/1854","KMA129052")</f>
        <v>KMA129052</v>
      </c>
      <c r="D703" s="6" t="s">
        <v>7</v>
      </c>
      <c r="E703" s="7" t="s">
        <v>321</v>
      </c>
    </row>
    <row r="704" spans="1:5" x14ac:dyDescent="0.25">
      <c r="A704" s="3">
        <v>703</v>
      </c>
      <c r="B704" s="3" t="str">
        <f>HYPERLINK("https://www.kmpharma.in/product/1855","N-Nitroso Amoxicillin Impurity J Trimer")</f>
        <v>N-Nitroso Amoxicillin Impurity J Trimer</v>
      </c>
      <c r="C704" s="3" t="str">
        <f>HYPERLINK("https://www.kmpharma.in/product/1855","KMA129053")</f>
        <v>KMA129053</v>
      </c>
      <c r="D704" s="3" t="s">
        <v>7</v>
      </c>
      <c r="E704" s="5" t="s">
        <v>321</v>
      </c>
    </row>
    <row r="705" spans="1:5" x14ac:dyDescent="0.25">
      <c r="A705" s="6">
        <v>704</v>
      </c>
      <c r="B705" s="6" t="str">
        <f>HYPERLINK("https://www.kmpharma.in/product/1856","N-Nitroso Amoxicillin Impurity K")</f>
        <v>N-Nitroso Amoxicillin Impurity K</v>
      </c>
      <c r="C705" s="6" t="str">
        <f>HYPERLINK("https://www.kmpharma.in/product/1856","KMA129054")</f>
        <v>KMA129054</v>
      </c>
      <c r="D705" s="6" t="s">
        <v>7</v>
      </c>
      <c r="E705" s="7" t="s">
        <v>321</v>
      </c>
    </row>
    <row r="706" spans="1:5" x14ac:dyDescent="0.25">
      <c r="A706" s="3">
        <v>705</v>
      </c>
      <c r="B706" s="3" t="str">
        <f>HYPERLINK("https://www.kmpharma.in/product/1977","N-Nitroso Anagrelide")</f>
        <v>N-Nitroso Anagrelide</v>
      </c>
      <c r="C706" s="3" t="str">
        <f>HYPERLINK("https://www.kmpharma.in/product/1977","KMA012029")</f>
        <v>KMA012029</v>
      </c>
      <c r="D706" s="3" t="s">
        <v>7</v>
      </c>
      <c r="E706" s="5" t="s">
        <v>321</v>
      </c>
    </row>
    <row r="707" spans="1:5" x14ac:dyDescent="0.25">
      <c r="A707" s="6">
        <v>706</v>
      </c>
      <c r="B707" s="6" t="str">
        <f>HYPERLINK("https://www.kmpharma.in/product/1978","N-Nitroso Anagrelide USP Related Compound A")</f>
        <v>N-Nitroso Anagrelide USP Related Compound A</v>
      </c>
      <c r="C707" s="6" t="str">
        <f>HYPERLINK("https://www.kmpharma.in/product/1978","KMA012030")</f>
        <v>KMA012030</v>
      </c>
      <c r="D707" s="6" t="s">
        <v>7</v>
      </c>
      <c r="E707" s="7" t="s">
        <v>321</v>
      </c>
    </row>
    <row r="708" spans="1:5" x14ac:dyDescent="0.25">
      <c r="A708" s="3">
        <v>707</v>
      </c>
      <c r="B708" s="3" t="str">
        <f>HYPERLINK("https://www.kmpharma.in/product/38674","N-Nitroso Analogue Of Vildagliptin Carboxylic Acid Impurity")</f>
        <v>N-Nitroso Analogue Of Vildagliptin Carboxylic Acid Impurity</v>
      </c>
      <c r="C708" s="3" t="str">
        <f>HYPERLINK("https://www.kmpharma.in/product/38674","KMV013008")</f>
        <v>KMV013008</v>
      </c>
      <c r="D708" s="3" t="s">
        <v>7</v>
      </c>
      <c r="E708" s="5" t="s">
        <v>321</v>
      </c>
    </row>
    <row r="709" spans="1:5" x14ac:dyDescent="0.25">
      <c r="A709" s="6">
        <v>708</v>
      </c>
      <c r="B709" s="6" t="str">
        <f>HYPERLINK("https://www.kmpharma.in/product/22456","N-Nitroso Anatabine")</f>
        <v>N-Nitroso Anatabine</v>
      </c>
      <c r="C709" s="6" t="str">
        <f>HYPERLINK("https://www.kmpharma.in/product/22456","KMN061015")</f>
        <v>KMN061015</v>
      </c>
      <c r="D709" s="6" t="s">
        <v>90</v>
      </c>
      <c r="E709" s="7" t="s">
        <v>321</v>
      </c>
    </row>
    <row r="710" spans="1:5" x14ac:dyDescent="0.25">
      <c r="A710" s="3">
        <v>709</v>
      </c>
      <c r="B710" s="3" t="str">
        <f>HYPERLINK("https://www.kmpharma.in/product/5209","N-Nitroso Aniline")</f>
        <v>N-Nitroso Aniline</v>
      </c>
      <c r="C710" s="3" t="str">
        <f>HYPERLINK("https://www.kmpharma.in/product/5209","KMB117026")</f>
        <v>KMB117026</v>
      </c>
      <c r="D710" s="3" t="s">
        <v>91</v>
      </c>
      <c r="E710" s="5" t="s">
        <v>321</v>
      </c>
    </row>
    <row r="711" spans="1:5" x14ac:dyDescent="0.25">
      <c r="A711" s="6">
        <v>710</v>
      </c>
      <c r="B711" s="6" t="str">
        <f>HYPERLINK("https://www.kmpharma.in/product/2101","N-Nitroso Apalutamide")</f>
        <v>N-Nitroso Apalutamide</v>
      </c>
      <c r="C711" s="6" t="str">
        <f>HYPERLINK("https://www.kmpharma.in/product/2101","KMA004039")</f>
        <v>KMA004039</v>
      </c>
      <c r="D711" s="6" t="s">
        <v>7</v>
      </c>
      <c r="E711" s="7" t="s">
        <v>321</v>
      </c>
    </row>
    <row r="712" spans="1:5" x14ac:dyDescent="0.25">
      <c r="A712" s="3">
        <v>711</v>
      </c>
      <c r="B712" s="3" t="str">
        <f>HYPERLINK("https://www.kmpharma.in/product/2102","N-Nitroso Apalutamide Amine Impurity")</f>
        <v>N-Nitroso Apalutamide Amine Impurity</v>
      </c>
      <c r="C712" s="3" t="str">
        <f>HYPERLINK("https://www.kmpharma.in/product/2102","KMA004040")</f>
        <v>KMA004040</v>
      </c>
      <c r="D712" s="3" t="s">
        <v>7</v>
      </c>
      <c r="E712" s="5" t="s">
        <v>321</v>
      </c>
    </row>
    <row r="713" spans="1:5" x14ac:dyDescent="0.25">
      <c r="A713" s="6">
        <v>712</v>
      </c>
      <c r="B713" s="6" t="str">
        <f>HYPERLINK("https://www.kmpharma.in/product/2103","N-Nitroso Apalutamide Impurity 1")</f>
        <v>N-Nitroso Apalutamide Impurity 1</v>
      </c>
      <c r="C713" s="6" t="str">
        <f>HYPERLINK("https://www.kmpharma.in/product/2103","KMA004041")</f>
        <v>KMA004041</v>
      </c>
      <c r="D713" s="6" t="s">
        <v>7</v>
      </c>
      <c r="E713" s="7" t="s">
        <v>321</v>
      </c>
    </row>
    <row r="714" spans="1:5" x14ac:dyDescent="0.25">
      <c r="A714" s="3">
        <v>713</v>
      </c>
      <c r="B714" s="3" t="str">
        <f>HYPERLINK("https://www.kmpharma.in/product/2104","N-Nitroso Apalutamide Impurity 2")</f>
        <v>N-Nitroso Apalutamide Impurity 2</v>
      </c>
      <c r="C714" s="3" t="str">
        <f>HYPERLINK("https://www.kmpharma.in/product/2104","KMA004042")</f>
        <v>KMA004042</v>
      </c>
      <c r="D714" s="3" t="s">
        <v>7</v>
      </c>
      <c r="E714" s="5" t="s">
        <v>321</v>
      </c>
    </row>
    <row r="715" spans="1:5" x14ac:dyDescent="0.25">
      <c r="A715" s="6">
        <v>714</v>
      </c>
      <c r="B715" s="6" t="str">
        <f>HYPERLINK("https://www.kmpharma.in/product/2100","N-Nitroso Apalutamide Impurity 3")</f>
        <v>N-Nitroso Apalutamide Impurity 3</v>
      </c>
      <c r="C715" s="6" t="str">
        <f>HYPERLINK("https://www.kmpharma.in/product/2100","KMA004043")</f>
        <v>KMA004043</v>
      </c>
      <c r="D715" s="6" t="s">
        <v>7</v>
      </c>
      <c r="E715" s="7" t="s">
        <v>321</v>
      </c>
    </row>
    <row r="716" spans="1:5" x14ac:dyDescent="0.25">
      <c r="A716" s="3">
        <v>715</v>
      </c>
      <c r="B716" s="3" t="str">
        <f>HYPERLINK("https://www.kmpharma.in/product/2106","N-Nitroso Apatinib")</f>
        <v>N-Nitroso Apatinib</v>
      </c>
      <c r="C716" s="3" t="str">
        <f>HYPERLINK("https://www.kmpharma.in/product/2106","KMA154003")</f>
        <v>KMA154003</v>
      </c>
      <c r="D716" s="3" t="s">
        <v>7</v>
      </c>
      <c r="E716" s="5" t="s">
        <v>323</v>
      </c>
    </row>
    <row r="717" spans="1:5" x14ac:dyDescent="0.25">
      <c r="A717" s="6">
        <v>716</v>
      </c>
      <c r="B717" s="6" t="str">
        <f>HYPERLINK("https://www.kmpharma.in/product/2276","N-Nitroso Apixaban Amino Acid Impurity")</f>
        <v>N-Nitroso Apixaban Amino Acid Impurity</v>
      </c>
      <c r="C717" s="6" t="str">
        <f>HYPERLINK("https://www.kmpharma.in/product/2276","KMA013172")</f>
        <v>KMA013172</v>
      </c>
      <c r="D717" s="6" t="s">
        <v>7</v>
      </c>
      <c r="E717" s="7" t="s">
        <v>323</v>
      </c>
    </row>
    <row r="718" spans="1:5" x14ac:dyDescent="0.25">
      <c r="A718" s="3">
        <v>717</v>
      </c>
      <c r="B718" s="3" t="str">
        <f>HYPERLINK("https://www.kmpharma.in/product/2294","N-Nitroso Apramycin")</f>
        <v>N-Nitroso Apramycin</v>
      </c>
      <c r="C718" s="3" t="str">
        <f>HYPERLINK("https://www.kmpharma.in/product/2294","KMA158003")</f>
        <v>KMA158003</v>
      </c>
      <c r="D718" s="3" t="s">
        <v>7</v>
      </c>
      <c r="E718" s="5" t="s">
        <v>323</v>
      </c>
    </row>
    <row r="719" spans="1:5" x14ac:dyDescent="0.25">
      <c r="A719" s="6">
        <v>718</v>
      </c>
      <c r="B719" s="6" t="str">
        <f>HYPERLINK("https://www.kmpharma.in/product/2361","N-Nitroso Apremilast")</f>
        <v>N-Nitroso Apremilast</v>
      </c>
      <c r="C719" s="6" t="str">
        <f>HYPERLINK("https://www.kmpharma.in/product/2361","KMA014066")</f>
        <v>KMA014066</v>
      </c>
      <c r="D719" s="6" t="s">
        <v>7</v>
      </c>
      <c r="E719" s="7" t="s">
        <v>321</v>
      </c>
    </row>
    <row r="720" spans="1:5" x14ac:dyDescent="0.25">
      <c r="A720" s="3">
        <v>719</v>
      </c>
      <c r="B720" s="3" t="str">
        <f>HYPERLINK("https://www.kmpharma.in/product/14457","N-Nitroso Arformoterol")</f>
        <v>N-Nitroso Arformoterol</v>
      </c>
      <c r="C720" s="3" t="str">
        <f>HYPERLINK("https://www.kmpharma.in/product/14457","KMF104074")</f>
        <v>KMF104074</v>
      </c>
      <c r="D720" s="3" t="s">
        <v>7</v>
      </c>
      <c r="E720" s="5" t="s">
        <v>323</v>
      </c>
    </row>
    <row r="721" spans="1:5" x14ac:dyDescent="0.25">
      <c r="A721" s="6">
        <v>720</v>
      </c>
      <c r="B721" s="6" t="str">
        <f>HYPERLINK("https://www.kmpharma.in/product/2459","N-Nitroso Argatroban")</f>
        <v>N-Nitroso Argatroban</v>
      </c>
      <c r="C721" s="6" t="str">
        <f>HYPERLINK("https://www.kmpharma.in/product/2459","KMA165031")</f>
        <v>KMA165031</v>
      </c>
      <c r="D721" s="6" t="s">
        <v>7</v>
      </c>
      <c r="E721" s="7" t="s">
        <v>323</v>
      </c>
    </row>
    <row r="722" spans="1:5" x14ac:dyDescent="0.25">
      <c r="A722" s="3">
        <v>721</v>
      </c>
      <c r="B722" s="3" t="str">
        <f>HYPERLINK("https://www.kmpharma.in/product/2473","N-Nitroso Arginine")</f>
        <v>N-Nitroso Arginine</v>
      </c>
      <c r="C722" s="3" t="str">
        <f>HYPERLINK("https://www.kmpharma.in/product/2473","KMA166012")</f>
        <v>KMA166012</v>
      </c>
      <c r="D722" s="3" t="s">
        <v>92</v>
      </c>
      <c r="E722" s="5" t="s">
        <v>321</v>
      </c>
    </row>
    <row r="723" spans="1:5" x14ac:dyDescent="0.25">
      <c r="A723" s="6">
        <v>722</v>
      </c>
      <c r="B723" s="6" t="str">
        <f>HYPERLINK("https://www.kmpharma.in/product/35190","N-Nitroso Aripiprazole")</f>
        <v>N-Nitroso Aripiprazole</v>
      </c>
      <c r="C723" s="6" t="str">
        <f>HYPERLINK("https://www.kmpharma.in/product/35190","KMA015099")</f>
        <v>KMA015099</v>
      </c>
      <c r="D723" s="6" t="s">
        <v>7</v>
      </c>
      <c r="E723" s="7" t="s">
        <v>321</v>
      </c>
    </row>
    <row r="724" spans="1:5" x14ac:dyDescent="0.25">
      <c r="A724" s="3">
        <v>723</v>
      </c>
      <c r="B724" s="3" t="str">
        <f>HYPERLINK("https://www.kmpharma.in/product/35191","N-Nitroso Aripiprazole Bromobutoxyquinoline Impurity")</f>
        <v>N-Nitroso Aripiprazole Bromobutoxyquinoline Impurity</v>
      </c>
      <c r="C724" s="3" t="str">
        <f>HYPERLINK("https://www.kmpharma.in/product/35191","KMA015100")</f>
        <v>KMA015100</v>
      </c>
      <c r="D724" s="3" t="s">
        <v>7</v>
      </c>
      <c r="E724" s="5" t="s">
        <v>321</v>
      </c>
    </row>
    <row r="725" spans="1:5" x14ac:dyDescent="0.25">
      <c r="A725" s="6">
        <v>724</v>
      </c>
      <c r="B725" s="6" t="str">
        <f>HYPERLINK("https://www.kmpharma.in/product/422","N-Nitroso Aripiprazole EP Impurity B")</f>
        <v>N-Nitroso Aripiprazole EP Impurity B</v>
      </c>
      <c r="C725" s="6" t="str">
        <f>HYPERLINK("https://www.kmpharma.in/product/422","KMA015009")</f>
        <v>KMA015009</v>
      </c>
      <c r="D725" s="6" t="s">
        <v>35</v>
      </c>
      <c r="E725" s="7" t="s">
        <v>321</v>
      </c>
    </row>
    <row r="726" spans="1:5" x14ac:dyDescent="0.25">
      <c r="A726" s="3">
        <v>725</v>
      </c>
      <c r="B726" s="3" t="str">
        <f>HYPERLINK("https://www.kmpharma.in/product/35192","N-Nitroso Aripiprazole EP Impurity E")</f>
        <v>N-Nitroso Aripiprazole EP Impurity E</v>
      </c>
      <c r="C726" s="3" t="str">
        <f>HYPERLINK("https://www.kmpharma.in/product/35192","KMA015101")</f>
        <v>KMA015101</v>
      </c>
      <c r="D726" s="3" t="s">
        <v>7</v>
      </c>
      <c r="E726" s="5" t="s">
        <v>321</v>
      </c>
    </row>
    <row r="727" spans="1:5" x14ac:dyDescent="0.25">
      <c r="A727" s="6">
        <v>726</v>
      </c>
      <c r="B727" s="6" t="str">
        <f>HYPERLINK("https://www.kmpharma.in/product/35193","N-Nitroso Aripiprazole EP Impurity F")</f>
        <v>N-Nitroso Aripiprazole EP Impurity F</v>
      </c>
      <c r="C727" s="6" t="str">
        <f>HYPERLINK("https://www.kmpharma.in/product/35193","KMA015102")</f>
        <v>KMA015102</v>
      </c>
      <c r="D727" s="6" t="s">
        <v>7</v>
      </c>
      <c r="E727" s="7" t="s">
        <v>321</v>
      </c>
    </row>
    <row r="728" spans="1:5" x14ac:dyDescent="0.25">
      <c r="A728" s="3">
        <v>727</v>
      </c>
      <c r="B728" s="3" t="str">
        <f>HYPERLINK("https://www.kmpharma.in/product/2478","N-Nitroso Arotinolol")</f>
        <v>N-Nitroso Arotinolol</v>
      </c>
      <c r="C728" s="3" t="str">
        <f>HYPERLINK("https://www.kmpharma.in/product/2478","KMA168002")</f>
        <v>KMA168002</v>
      </c>
      <c r="D728" s="3" t="s">
        <v>7</v>
      </c>
      <c r="E728" s="5" t="s">
        <v>321</v>
      </c>
    </row>
    <row r="729" spans="1:5" x14ac:dyDescent="0.25">
      <c r="A729" s="6">
        <v>728</v>
      </c>
      <c r="B729" s="6" t="str">
        <f>HYPERLINK("https://www.kmpharma.in/product/2544","N-Nitroso Articaine")</f>
        <v>N-Nitroso Articaine</v>
      </c>
      <c r="C729" s="6" t="str">
        <f>HYPERLINK("https://www.kmpharma.in/product/2544","KMA175012")</f>
        <v>KMA175012</v>
      </c>
      <c r="D729" s="6" t="s">
        <v>7</v>
      </c>
      <c r="E729" s="6" t="s">
        <v>16</v>
      </c>
    </row>
    <row r="730" spans="1:5" x14ac:dyDescent="0.25">
      <c r="A730" s="3">
        <v>729</v>
      </c>
      <c r="B730" s="3" t="str">
        <f>HYPERLINK("https://www.kmpharma.in/product/2599","N-Nitroso Asciminib")</f>
        <v>N-Nitroso Asciminib</v>
      </c>
      <c r="C730" s="3" t="str">
        <f>HYPERLINK("https://www.kmpharma.in/product/2599","KMA176057")</f>
        <v>KMA176057</v>
      </c>
      <c r="D730" s="3" t="s">
        <v>7</v>
      </c>
      <c r="E730" s="5" t="s">
        <v>323</v>
      </c>
    </row>
    <row r="731" spans="1:5" x14ac:dyDescent="0.25">
      <c r="A731" s="6">
        <v>730</v>
      </c>
      <c r="B731" s="6" t="str">
        <f>HYPERLINK("https://www.kmpharma.in/product/2668","N-Nitroso Aspartame")</f>
        <v>N-Nitroso Aspartame</v>
      </c>
      <c r="C731" s="6" t="str">
        <f>HYPERLINK("https://www.kmpharma.in/product/2668","KMA180008")</f>
        <v>KMA180008</v>
      </c>
      <c r="D731" s="6" t="s">
        <v>7</v>
      </c>
      <c r="E731" s="7" t="s">
        <v>321</v>
      </c>
    </row>
    <row r="732" spans="1:5" x14ac:dyDescent="0.25">
      <c r="A732" s="3">
        <v>731</v>
      </c>
      <c r="B732" s="3" t="str">
        <f>HYPERLINK("https://www.kmpharma.in/product/35284","N-Nitroso Atazanavir EP Impurity C")</f>
        <v>N-Nitroso Atazanavir EP Impurity C</v>
      </c>
      <c r="C732" s="3" t="str">
        <f>HYPERLINK("https://www.kmpharma.in/product/35284","KMA185088")</f>
        <v>KMA185088</v>
      </c>
      <c r="D732" s="3" t="s">
        <v>7</v>
      </c>
      <c r="E732" s="5" t="s">
        <v>321</v>
      </c>
    </row>
    <row r="733" spans="1:5" x14ac:dyDescent="0.25">
      <c r="A733" s="6">
        <v>732</v>
      </c>
      <c r="B733" s="6" t="str">
        <f>HYPERLINK("https://www.kmpharma.in/product/2745","N-Nitroso Atenolol")</f>
        <v>N-Nitroso Atenolol</v>
      </c>
      <c r="C733" s="6" t="str">
        <f>HYPERLINK("https://www.kmpharma.in/product/2745","KMA018026")</f>
        <v>KMA018026</v>
      </c>
      <c r="D733" s="6" t="s">
        <v>93</v>
      </c>
      <c r="E733" s="7" t="s">
        <v>321</v>
      </c>
    </row>
    <row r="734" spans="1:5" x14ac:dyDescent="0.25">
      <c r="A734" s="3">
        <v>733</v>
      </c>
      <c r="B734" s="3" t="str">
        <f>HYPERLINK("https://www.kmpharma.in/product/2746","N-Nitroso Atenolol EP Impurity G")</f>
        <v>N-Nitroso Atenolol EP Impurity G</v>
      </c>
      <c r="C734" s="3" t="str">
        <f>HYPERLINK("https://www.kmpharma.in/product/2746","KMA018027")</f>
        <v>KMA018027</v>
      </c>
      <c r="D734" s="3" t="s">
        <v>7</v>
      </c>
      <c r="E734" s="5" t="s">
        <v>321</v>
      </c>
    </row>
    <row r="735" spans="1:5" x14ac:dyDescent="0.25">
      <c r="A735" s="6">
        <v>734</v>
      </c>
      <c r="B735" s="6" t="str">
        <f>HYPERLINK("https://www.kmpharma.in/product/2747","N-Nitroso Atenolol EP Impurity H")</f>
        <v>N-Nitroso Atenolol EP Impurity H</v>
      </c>
      <c r="C735" s="6" t="str">
        <f>HYPERLINK("https://www.kmpharma.in/product/2747","KMA018028")</f>
        <v>KMA018028</v>
      </c>
      <c r="D735" s="6" t="s">
        <v>7</v>
      </c>
      <c r="E735" s="7" t="s">
        <v>323</v>
      </c>
    </row>
    <row r="736" spans="1:5" x14ac:dyDescent="0.25">
      <c r="A736" s="3">
        <v>735</v>
      </c>
      <c r="B736" s="3" t="str">
        <f>HYPERLINK("https://www.kmpharma.in/product/2748","N-Nitroso Atenolol EP Impurity I")</f>
        <v>N-Nitroso Atenolol EP Impurity I</v>
      </c>
      <c r="C736" s="3" t="str">
        <f>HYPERLINK("https://www.kmpharma.in/product/2748","KMA018029")</f>
        <v>KMA018029</v>
      </c>
      <c r="D736" s="3" t="s">
        <v>7</v>
      </c>
      <c r="E736" s="5" t="s">
        <v>321</v>
      </c>
    </row>
    <row r="737" spans="1:5" x14ac:dyDescent="0.25">
      <c r="A737" s="6">
        <v>736</v>
      </c>
      <c r="B737" s="6" t="str">
        <f>HYPERLINK("https://www.kmpharma.in/product/2797","N-Nitroso Atomoxetine D3")</f>
        <v>N-Nitroso Atomoxetine D3</v>
      </c>
      <c r="C737" s="6" t="str">
        <f>HYPERLINK("https://www.kmpharma.in/product/2797","KMA031032")</f>
        <v>KMA031032</v>
      </c>
      <c r="D737" s="6" t="s">
        <v>7</v>
      </c>
      <c r="E737" s="7" t="s">
        <v>321</v>
      </c>
    </row>
    <row r="738" spans="1:5" x14ac:dyDescent="0.25">
      <c r="A738" s="3">
        <v>737</v>
      </c>
      <c r="B738" s="3" t="str">
        <f>HYPERLINK("https://www.kmpharma.in/product/2936","N-Nitroso Atorvastatin Calcium")</f>
        <v>N-Nitroso Atorvastatin Calcium</v>
      </c>
      <c r="C738" s="3" t="str">
        <f>HYPERLINK("https://www.kmpharma.in/product/2936","KMA002150")</f>
        <v>KMA002150</v>
      </c>
      <c r="D738" s="3" t="s">
        <v>7</v>
      </c>
      <c r="E738" s="5" t="s">
        <v>321</v>
      </c>
    </row>
    <row r="739" spans="1:5" x14ac:dyDescent="0.25">
      <c r="A739" s="6">
        <v>738</v>
      </c>
      <c r="B739" s="6" t="str">
        <f>HYPERLINK("https://www.kmpharma.in/product/504","N-Nitroso Atropine EP Impurity B")</f>
        <v>N-Nitroso Atropine EP Impurity B</v>
      </c>
      <c r="C739" s="6" t="str">
        <f>HYPERLINK("https://www.kmpharma.in/product/504","KMA035001")</f>
        <v>KMA035001</v>
      </c>
      <c r="D739" s="6" t="s">
        <v>94</v>
      </c>
      <c r="E739" s="7" t="s">
        <v>321</v>
      </c>
    </row>
    <row r="740" spans="1:5" x14ac:dyDescent="0.25">
      <c r="A740" s="3">
        <v>739</v>
      </c>
      <c r="B740" s="3" t="str">
        <f>HYPERLINK("https://www.kmpharma.in/product/35290","N-Nitroso Atropine EP Impurity B")</f>
        <v>N-Nitroso Atropine EP Impurity B</v>
      </c>
      <c r="C740" s="3" t="str">
        <f>HYPERLINK("https://www.kmpharma.in/product/35290","KMA035017")</f>
        <v>KMA035017</v>
      </c>
      <c r="D740" s="3" t="s">
        <v>94</v>
      </c>
      <c r="E740" s="5" t="s">
        <v>321</v>
      </c>
    </row>
    <row r="741" spans="1:5" x14ac:dyDescent="0.25">
      <c r="A741" s="6">
        <v>740</v>
      </c>
      <c r="B741" s="6" t="str">
        <f>HYPERLINK("https://www.kmpharma.in/product/3096","N-Nitroso Avacopan")</f>
        <v>N-Nitroso Avacopan</v>
      </c>
      <c r="C741" s="6" t="str">
        <f>HYPERLINK("https://www.kmpharma.in/product/3096","KMA195011")</f>
        <v>KMA195011</v>
      </c>
      <c r="D741" s="6" t="s">
        <v>7</v>
      </c>
      <c r="E741" s="7" t="s">
        <v>321</v>
      </c>
    </row>
    <row r="742" spans="1:5" x14ac:dyDescent="0.25">
      <c r="A742" s="3">
        <v>741</v>
      </c>
      <c r="B742" s="3" t="str">
        <f>HYPERLINK("https://www.kmpharma.in/product/3138","N-Nitroso Avanafil")</f>
        <v>N-Nitroso Avanafil</v>
      </c>
      <c r="C742" s="3" t="str">
        <f>HYPERLINK("https://www.kmpharma.in/product/3138","KMA196041")</f>
        <v>KMA196041</v>
      </c>
      <c r="D742" s="3" t="s">
        <v>7</v>
      </c>
      <c r="E742" s="5" t="s">
        <v>321</v>
      </c>
    </row>
    <row r="743" spans="1:5" x14ac:dyDescent="0.25">
      <c r="A743" s="6">
        <v>742</v>
      </c>
      <c r="B743" s="6" t="str">
        <f>HYPERLINK("https://www.kmpharma.in/product/3280","N-Nitroso Axitinib")</f>
        <v>N-Nitroso Axitinib</v>
      </c>
      <c r="C743" s="6" t="str">
        <f>HYPERLINK("https://www.kmpharma.in/product/3280","KMA203052")</f>
        <v>KMA203052</v>
      </c>
      <c r="D743" s="6" t="s">
        <v>7</v>
      </c>
      <c r="E743" s="7" t="s">
        <v>321</v>
      </c>
    </row>
    <row r="744" spans="1:5" x14ac:dyDescent="0.25">
      <c r="A744" s="3">
        <v>743</v>
      </c>
      <c r="B744" s="3" t="str">
        <f>HYPERLINK("https://www.kmpharma.in/product/3398","N-Nitroso Azelastine EP Impurity A")</f>
        <v>N-Nitroso Azelastine EP Impurity A</v>
      </c>
      <c r="C744" s="3" t="str">
        <f>HYPERLINK("https://www.kmpharma.in/product/3398","KMA032026")</f>
        <v>KMA032026</v>
      </c>
      <c r="D744" s="3" t="s">
        <v>7</v>
      </c>
      <c r="E744" s="5" t="s">
        <v>321</v>
      </c>
    </row>
    <row r="745" spans="1:5" x14ac:dyDescent="0.25">
      <c r="A745" s="6">
        <v>744</v>
      </c>
      <c r="B745" s="6" t="str">
        <f>HYPERLINK("https://www.kmpharma.in/product/3396","N-Nitroso Azelastine EP Impurity B")</f>
        <v>N-Nitroso Azelastine EP Impurity B</v>
      </c>
      <c r="C745" s="6" t="str">
        <f>HYPERLINK("https://www.kmpharma.in/product/3396","KMA032027")</f>
        <v>KMA032027</v>
      </c>
      <c r="D745" s="6" t="s">
        <v>7</v>
      </c>
      <c r="E745" s="7" t="s">
        <v>321</v>
      </c>
    </row>
    <row r="746" spans="1:5" x14ac:dyDescent="0.25">
      <c r="A746" s="3">
        <v>745</v>
      </c>
      <c r="B746" s="3" t="str">
        <f>HYPERLINK("https://www.kmpharma.in/product/3400","N-Nitroso Azelnidipine")</f>
        <v>N-Nitroso Azelnidipine</v>
      </c>
      <c r="C746" s="3" t="str">
        <f>HYPERLINK("https://www.kmpharma.in/product/3400","KMA210002")</f>
        <v>KMA210002</v>
      </c>
      <c r="D746" s="3" t="s">
        <v>7</v>
      </c>
      <c r="E746" s="5" t="s">
        <v>321</v>
      </c>
    </row>
    <row r="747" spans="1:5" x14ac:dyDescent="0.25">
      <c r="A747" s="6">
        <v>746</v>
      </c>
      <c r="B747" s="6" t="str">
        <f>HYPERLINK("https://www.kmpharma.in/product/3478","N-Nitroso Azilsartan")</f>
        <v>N-Nitroso Azilsartan</v>
      </c>
      <c r="C747" s="6" t="str">
        <f>HYPERLINK("https://www.kmpharma.in/product/3478","KMA211079")</f>
        <v>KMA211079</v>
      </c>
      <c r="D747" s="6" t="s">
        <v>7</v>
      </c>
      <c r="E747" s="7" t="s">
        <v>321</v>
      </c>
    </row>
    <row r="748" spans="1:5" x14ac:dyDescent="0.25">
      <c r="A748" s="3">
        <v>747</v>
      </c>
      <c r="B748" s="3" t="str">
        <f>HYPERLINK("https://www.kmpharma.in/product/3479","N-Nitroso Azilsartan Imidazole Carbonyl Dioxolene Ester")</f>
        <v>N-Nitroso Azilsartan Imidazole Carbonyl Dioxolene Ester</v>
      </c>
      <c r="C748" s="3" t="str">
        <f>HYPERLINK("https://www.kmpharma.in/product/3479","KMA211080")</f>
        <v>KMA211080</v>
      </c>
      <c r="D748" s="3" t="s">
        <v>7</v>
      </c>
      <c r="E748" s="5" t="s">
        <v>321</v>
      </c>
    </row>
    <row r="749" spans="1:5" x14ac:dyDescent="0.25">
      <c r="A749" s="6">
        <v>748</v>
      </c>
      <c r="B749" s="6" t="str">
        <f>HYPERLINK("https://www.kmpharma.in/product/3489","N-Nitroso Azilsartan Medoxomil")</f>
        <v>N-Nitroso Azilsartan Medoxomil</v>
      </c>
      <c r="C749" s="6" t="str">
        <f>HYPERLINK("https://www.kmpharma.in/product/3489","KMA212009")</f>
        <v>KMA212009</v>
      </c>
      <c r="D749" s="6" t="s">
        <v>7</v>
      </c>
      <c r="E749" s="7" t="s">
        <v>321</v>
      </c>
    </row>
    <row r="750" spans="1:5" x14ac:dyDescent="0.25">
      <c r="A750" s="3">
        <v>749</v>
      </c>
      <c r="B750" s="3" t="str">
        <f>HYPERLINK("https://www.kmpharma.in/product/3480","N-Nitroso Azilsartan Methyl Ester")</f>
        <v>N-Nitroso Azilsartan Methyl Ester</v>
      </c>
      <c r="C750" s="3" t="str">
        <f>HYPERLINK("https://www.kmpharma.in/product/3480","KMA211081")</f>
        <v>KMA211081</v>
      </c>
      <c r="D750" s="3" t="s">
        <v>7</v>
      </c>
      <c r="E750" s="5" t="s">
        <v>321</v>
      </c>
    </row>
    <row r="751" spans="1:5" x14ac:dyDescent="0.25">
      <c r="A751" s="6">
        <v>750</v>
      </c>
      <c r="B751" s="6" t="str">
        <f>HYPERLINK("https://www.kmpharma.in/product/3524","N-Nitroso Azithromycin EP Impurity A")</f>
        <v>N-Nitroso Azithromycin EP Impurity A</v>
      </c>
      <c r="C751" s="6" t="str">
        <f>HYPERLINK("https://www.kmpharma.in/product/3524","KMA001037")</f>
        <v>KMA001037</v>
      </c>
      <c r="D751" s="6" t="s">
        <v>7</v>
      </c>
      <c r="E751" s="7" t="s">
        <v>321</v>
      </c>
    </row>
    <row r="752" spans="1:5" x14ac:dyDescent="0.25">
      <c r="A752" s="3">
        <v>751</v>
      </c>
      <c r="B752" s="3" t="str">
        <f>HYPERLINK("https://www.kmpharma.in/product/3523","N-Nitroso Azithromycin EP Impurity I")</f>
        <v>N-Nitroso Azithromycin EP Impurity I</v>
      </c>
      <c r="C752" s="3" t="str">
        <f>HYPERLINK("https://www.kmpharma.in/product/3523","KMA001038")</f>
        <v>KMA001038</v>
      </c>
      <c r="D752" s="3" t="s">
        <v>7</v>
      </c>
      <c r="E752" s="5" t="s">
        <v>324</v>
      </c>
    </row>
    <row r="753" spans="1:5" x14ac:dyDescent="0.25">
      <c r="A753" s="6">
        <v>752</v>
      </c>
      <c r="B753" s="6" t="str">
        <f>HYPERLINK("https://www.kmpharma.in/product/3525","N-Nitroso Azithromycin EP Impurity M")</f>
        <v>N-Nitroso Azithromycin EP Impurity M</v>
      </c>
      <c r="C753" s="6" t="str">
        <f>HYPERLINK("https://www.kmpharma.in/product/3525","KMA001039")</f>
        <v>KMA001039</v>
      </c>
      <c r="D753" s="6" t="s">
        <v>7</v>
      </c>
      <c r="E753" s="6" t="s">
        <v>16</v>
      </c>
    </row>
    <row r="754" spans="1:5" x14ac:dyDescent="0.25">
      <c r="A754" s="3">
        <v>753</v>
      </c>
      <c r="B754" s="3" t="str">
        <f>HYPERLINK("https://www.kmpharma.in/product/20571","N-Nitroso Azure B")</f>
        <v>N-Nitroso Azure B</v>
      </c>
      <c r="C754" s="3" t="str">
        <f>HYPERLINK("https://www.kmpharma.in/product/20571","KMM112015")</f>
        <v>KMM112015</v>
      </c>
      <c r="D754" s="3" t="s">
        <v>7</v>
      </c>
      <c r="E754" s="5" t="s">
        <v>321</v>
      </c>
    </row>
    <row r="755" spans="1:5" x14ac:dyDescent="0.25">
      <c r="A755" s="6">
        <v>754</v>
      </c>
      <c r="B755" s="6" t="str">
        <f>HYPERLINK("https://www.kmpharma.in/product/20573","N-Nitroso Azure B D3")</f>
        <v>N-Nitroso Azure B D3</v>
      </c>
      <c r="C755" s="6" t="str">
        <f>HYPERLINK("https://www.kmpharma.in/product/20573","KMM112016")</f>
        <v>KMM112016</v>
      </c>
      <c r="D755" s="6" t="s">
        <v>7</v>
      </c>
      <c r="E755" s="6" t="s">
        <v>16</v>
      </c>
    </row>
    <row r="756" spans="1:5" x14ac:dyDescent="0.25">
      <c r="A756" s="3">
        <v>755</v>
      </c>
      <c r="B756" s="3" t="str">
        <f>HYPERLINK("https://www.kmpharma.in/product/20572","N-Nitroso Azure C")</f>
        <v>N-Nitroso Azure C</v>
      </c>
      <c r="C756" s="3" t="str">
        <f>HYPERLINK("https://www.kmpharma.in/product/20572","KMM112017")</f>
        <v>KMM112017</v>
      </c>
      <c r="D756" s="3" t="s">
        <v>7</v>
      </c>
      <c r="E756" s="5" t="s">
        <v>321</v>
      </c>
    </row>
    <row r="757" spans="1:5" x14ac:dyDescent="0.25">
      <c r="A757" s="6">
        <v>756</v>
      </c>
      <c r="B757" s="6" t="str">
        <f>HYPERLINK("https://www.kmpharma.in/product/3773","N-Nitroso Bedaquiline Impurity 2")</f>
        <v>N-Nitroso Bedaquiline Impurity 2</v>
      </c>
      <c r="C757" s="6" t="str">
        <f>HYPERLINK("https://www.kmpharma.in/product/3773","KMB031020")</f>
        <v>KMB031020</v>
      </c>
      <c r="D757" s="6" t="s">
        <v>7</v>
      </c>
      <c r="E757" s="7" t="s">
        <v>323</v>
      </c>
    </row>
    <row r="758" spans="1:5" x14ac:dyDescent="0.25">
      <c r="A758" s="3">
        <v>757</v>
      </c>
      <c r="B758" s="3" t="str">
        <f>HYPERLINK("https://www.kmpharma.in/product/3786","N-Nitroso Belumosudil")</f>
        <v>N-Nitroso Belumosudil</v>
      </c>
      <c r="C758" s="3" t="str">
        <f>HYPERLINK("https://www.kmpharma.in/product/3786","KMB033007")</f>
        <v>KMB033007</v>
      </c>
      <c r="D758" s="3" t="s">
        <v>7</v>
      </c>
      <c r="E758" s="5" t="s">
        <v>323</v>
      </c>
    </row>
    <row r="759" spans="1:5" x14ac:dyDescent="0.25">
      <c r="A759" s="6">
        <v>758</v>
      </c>
      <c r="B759" s="6" t="str">
        <f>HYPERLINK("https://www.kmpharma.in/product/3787","N-Nitroso Belumosudil Impurity 1")</f>
        <v>N-Nitroso Belumosudil Impurity 1</v>
      </c>
      <c r="C759" s="6" t="str">
        <f>HYPERLINK("https://www.kmpharma.in/product/3787","KMB033008")</f>
        <v>KMB033008</v>
      </c>
      <c r="D759" s="6" t="s">
        <v>7</v>
      </c>
      <c r="E759" s="7" t="s">
        <v>323</v>
      </c>
    </row>
    <row r="760" spans="1:5" x14ac:dyDescent="0.25">
      <c r="A760" s="3">
        <v>759</v>
      </c>
      <c r="B760" s="3" t="str">
        <f>HYPERLINK("https://www.kmpharma.in/product/3822","N-Nitroso Benazepril")</f>
        <v>N-Nitroso Benazepril</v>
      </c>
      <c r="C760" s="3" t="str">
        <f>HYPERLINK("https://www.kmpharma.in/product/3822","KMB037019")</f>
        <v>KMB037019</v>
      </c>
      <c r="D760" s="3" t="s">
        <v>7</v>
      </c>
      <c r="E760" s="5" t="s">
        <v>321</v>
      </c>
    </row>
    <row r="761" spans="1:5" x14ac:dyDescent="0.25">
      <c r="A761" s="6">
        <v>760</v>
      </c>
      <c r="B761" s="6" t="str">
        <f>HYPERLINK("https://www.kmpharma.in/product/3884","N-Nitroso Bendamustine Impurity")</f>
        <v>N-Nitroso Bendamustine Impurity</v>
      </c>
      <c r="C761" s="6" t="str">
        <f>HYPERLINK("https://www.kmpharma.in/product/3884","KMB004062")</f>
        <v>KMB004062</v>
      </c>
      <c r="D761" s="6" t="s">
        <v>7</v>
      </c>
      <c r="E761" s="7" t="s">
        <v>321</v>
      </c>
    </row>
    <row r="762" spans="1:5" x14ac:dyDescent="0.25">
      <c r="A762" s="3">
        <v>761</v>
      </c>
      <c r="B762" s="3" t="str">
        <f>HYPERLINK("https://www.kmpharma.in/product/3889","N-Nitroso Bendroflumethazide")</f>
        <v>N-Nitroso Bendroflumethazide</v>
      </c>
      <c r="C762" s="3" t="str">
        <f>HYPERLINK("https://www.kmpharma.in/product/3889","KMB038005")</f>
        <v>KMB038005</v>
      </c>
      <c r="D762" s="3" t="s">
        <v>7</v>
      </c>
      <c r="E762" s="5" t="s">
        <v>321</v>
      </c>
    </row>
    <row r="763" spans="1:5" x14ac:dyDescent="0.25">
      <c r="A763" s="6">
        <v>762</v>
      </c>
      <c r="B763" s="6" t="str">
        <f>HYPERLINK("https://www.kmpharma.in/product/3922","N-Nitroso Benserazide")</f>
        <v>N-Nitroso Benserazide</v>
      </c>
      <c r="C763" s="6" t="str">
        <f>HYPERLINK("https://www.kmpharma.in/product/3922","KMB042008")</f>
        <v>KMB042008</v>
      </c>
      <c r="D763" s="6" t="s">
        <v>7</v>
      </c>
      <c r="E763" s="7" t="s">
        <v>321</v>
      </c>
    </row>
    <row r="764" spans="1:5" x14ac:dyDescent="0.25">
      <c r="A764" s="3">
        <v>763</v>
      </c>
      <c r="B764" s="3" t="str">
        <f>HYPERLINK("https://www.kmpharma.in/product/4009","N-Nitroso Benzocaine Impurity 1")</f>
        <v>N-Nitroso Benzocaine Impurity 1</v>
      </c>
      <c r="C764" s="3" t="str">
        <f>HYPERLINK("https://www.kmpharma.in/product/4009","KMB049040")</f>
        <v>KMB049040</v>
      </c>
      <c r="D764" s="3" t="s">
        <v>95</v>
      </c>
      <c r="E764" s="5" t="s">
        <v>321</v>
      </c>
    </row>
    <row r="765" spans="1:5" x14ac:dyDescent="0.25">
      <c r="A765" s="6">
        <v>764</v>
      </c>
      <c r="B765" s="6" t="str">
        <f>HYPERLINK("https://www.kmpharma.in/product/4037","N-Nitroso Benzonatate")</f>
        <v>N-Nitroso Benzonatate</v>
      </c>
      <c r="C765" s="6" t="str">
        <f>HYPERLINK("https://www.kmpharma.in/product/4037","KMB051006")</f>
        <v>KMB051006</v>
      </c>
      <c r="D765" s="6" t="s">
        <v>7</v>
      </c>
      <c r="E765" s="7" t="s">
        <v>321</v>
      </c>
    </row>
    <row r="766" spans="1:5" x14ac:dyDescent="0.25">
      <c r="A766" s="3">
        <v>765</v>
      </c>
      <c r="B766" s="3" t="str">
        <f>HYPERLINK("https://www.kmpharma.in/product/25269","N-Nitroso Benzylpenicillin EP Impurity E")</f>
        <v>N-Nitroso Benzylpenicillin EP Impurity E</v>
      </c>
      <c r="C766" s="3" t="str">
        <f>HYPERLINK("https://www.kmpharma.in/product/25269","KMP016036")</f>
        <v>KMP016036</v>
      </c>
      <c r="D766" s="3" t="s">
        <v>7</v>
      </c>
      <c r="E766" s="5" t="s">
        <v>321</v>
      </c>
    </row>
    <row r="767" spans="1:5" x14ac:dyDescent="0.25">
      <c r="A767" s="6">
        <v>766</v>
      </c>
      <c r="B767" s="6" t="str">
        <f>HYPERLINK("https://www.kmpharma.in/product/25270","N-Nitroso Benzylpenilloic Acid")</f>
        <v>N-Nitroso Benzylpenilloic Acid</v>
      </c>
      <c r="C767" s="6" t="str">
        <f>HYPERLINK("https://www.kmpharma.in/product/25270","KMP016037")</f>
        <v>KMP016037</v>
      </c>
      <c r="D767" s="6" t="s">
        <v>7</v>
      </c>
      <c r="E767" s="7" t="s">
        <v>321</v>
      </c>
    </row>
    <row r="768" spans="1:5" x14ac:dyDescent="0.25">
      <c r="A768" s="3">
        <v>767</v>
      </c>
      <c r="B768" s="3" t="str">
        <f>HYPERLINK("https://www.kmpharma.in/product/4094","N-Nitroso Berotralstat")</f>
        <v>N-Nitroso Berotralstat</v>
      </c>
      <c r="C768" s="3" t="str">
        <f>HYPERLINK("https://www.kmpharma.in/product/4094","KMB058006")</f>
        <v>KMB058006</v>
      </c>
      <c r="D768" s="3" t="s">
        <v>7</v>
      </c>
      <c r="E768" s="5" t="s">
        <v>321</v>
      </c>
    </row>
    <row r="769" spans="1:5" x14ac:dyDescent="0.25">
      <c r="A769" s="6">
        <v>768</v>
      </c>
      <c r="B769" s="6" t="str">
        <f>HYPERLINK("https://www.kmpharma.in/product/4122","N-Nitroso Betahistine D3")</f>
        <v>N-Nitroso Betahistine D3</v>
      </c>
      <c r="C769" s="6" t="str">
        <f>HYPERLINK("https://www.kmpharma.in/product/4122","KMB006027")</f>
        <v>KMB006027</v>
      </c>
      <c r="D769" s="6" t="s">
        <v>7</v>
      </c>
      <c r="E769" s="7" t="s">
        <v>323</v>
      </c>
    </row>
    <row r="770" spans="1:5" x14ac:dyDescent="0.25">
      <c r="A770" s="3">
        <v>769</v>
      </c>
      <c r="B770" s="3" t="str">
        <f>HYPERLINK("https://www.kmpharma.in/product/4125","N-Nitroso Betahistine EP Impurity C")</f>
        <v>N-Nitroso Betahistine EP Impurity C</v>
      </c>
      <c r="C770" s="3" t="str">
        <f>HYPERLINK("https://www.kmpharma.in/product/4125","KMB006028")</f>
        <v>KMB006028</v>
      </c>
      <c r="D770" s="3" t="s">
        <v>7</v>
      </c>
      <c r="E770" s="5" t="s">
        <v>321</v>
      </c>
    </row>
    <row r="771" spans="1:5" x14ac:dyDescent="0.25">
      <c r="A771" s="6">
        <v>770</v>
      </c>
      <c r="B771" s="6" t="str">
        <f>HYPERLINK("https://www.kmpharma.in/product/4257","N-Nitroso Betaxolol")</f>
        <v>N-Nitroso Betaxolol</v>
      </c>
      <c r="C771" s="6" t="str">
        <f>HYPERLINK("https://www.kmpharma.in/product/4257","KMB064008")</f>
        <v>KMB064008</v>
      </c>
      <c r="D771" s="6" t="s">
        <v>7</v>
      </c>
      <c r="E771" s="6" t="s">
        <v>16</v>
      </c>
    </row>
    <row r="772" spans="1:5" x14ac:dyDescent="0.25">
      <c r="A772" s="3">
        <v>771</v>
      </c>
      <c r="B772" s="3" t="str">
        <f>HYPERLINK("https://www.kmpharma.in/product/4361","N-Nitroso Bicalutamide")</f>
        <v>N-Nitroso Bicalutamide</v>
      </c>
      <c r="C772" s="3" t="str">
        <f>HYPERLINK("https://www.kmpharma.in/product/4361","KMB073033")</f>
        <v>KMB073033</v>
      </c>
      <c r="D772" s="3" t="s">
        <v>7</v>
      </c>
      <c r="E772" s="3" t="s">
        <v>16</v>
      </c>
    </row>
    <row r="773" spans="1:5" x14ac:dyDescent="0.25">
      <c r="A773" s="6">
        <v>772</v>
      </c>
      <c r="B773" s="6" t="str">
        <f>HYPERLINK("https://www.kmpharma.in/product/23035","N-Nitroso Bicisate")</f>
        <v>N-Nitroso Bicisate</v>
      </c>
      <c r="C773" s="6" t="str">
        <f>HYPERLINK("https://www.kmpharma.in/product/23035","KMN084054")</f>
        <v>KMN084054</v>
      </c>
      <c r="D773" s="6" t="s">
        <v>7</v>
      </c>
      <c r="E773" s="6" t="s">
        <v>16</v>
      </c>
    </row>
    <row r="774" spans="1:5" x14ac:dyDescent="0.25">
      <c r="A774" s="3">
        <v>773</v>
      </c>
      <c r="B774" s="3" t="str">
        <f>HYPERLINK("https://www.kmpharma.in/product/4474","N-Nitroso Bimatoprost")</f>
        <v>N-Nitroso Bimatoprost</v>
      </c>
      <c r="C774" s="3" t="str">
        <f>HYPERLINK("https://www.kmpharma.in/product/4474","KMB077026")</f>
        <v>KMB077026</v>
      </c>
      <c r="D774" s="3" t="s">
        <v>7</v>
      </c>
      <c r="E774" s="3" t="s">
        <v>16</v>
      </c>
    </row>
    <row r="775" spans="1:5" x14ac:dyDescent="0.25">
      <c r="A775" s="6">
        <v>774</v>
      </c>
      <c r="B775" s="6" t="str">
        <f>HYPERLINK("https://www.kmpharma.in/product/4507","N-Nitroso Binimetinib")</f>
        <v>N-Nitroso Binimetinib</v>
      </c>
      <c r="C775" s="6" t="str">
        <f>HYPERLINK("https://www.kmpharma.in/product/4507","KMB078033")</f>
        <v>KMB078033</v>
      </c>
      <c r="D775" s="6" t="s">
        <v>7</v>
      </c>
      <c r="E775" s="6" t="s">
        <v>16</v>
      </c>
    </row>
    <row r="776" spans="1:5" x14ac:dyDescent="0.25">
      <c r="A776" s="3">
        <v>775</v>
      </c>
      <c r="B776" s="3" t="str">
        <f>HYPERLINK("https://www.kmpharma.in/product/4528","N-Nitroso Biotin")</f>
        <v>N-Nitroso Biotin</v>
      </c>
      <c r="C776" s="3" t="str">
        <f>HYPERLINK("https://www.kmpharma.in/product/4528","KMB002022")</f>
        <v>KMB002022</v>
      </c>
      <c r="D776" s="3" t="s">
        <v>96</v>
      </c>
      <c r="E776" s="3" t="s">
        <v>16</v>
      </c>
    </row>
    <row r="777" spans="1:5" x14ac:dyDescent="0.25">
      <c r="A777" s="6">
        <v>776</v>
      </c>
      <c r="B777" s="6" t="str">
        <f>HYPERLINK("https://www.kmpharma.in/product/22961","N-Nitroso Bis(2-chloroethyl)amine")</f>
        <v>N-Nitroso Bis(2-chloroethyl)amine</v>
      </c>
      <c r="C777" s="6" t="str">
        <f>HYPERLINK("https://www.kmpharma.in/product/22961","KMN084055")</f>
        <v>KMN084055</v>
      </c>
      <c r="D777" s="6" t="s">
        <v>97</v>
      </c>
      <c r="E777" s="7" t="s">
        <v>321</v>
      </c>
    </row>
    <row r="778" spans="1:5" x14ac:dyDescent="0.25">
      <c r="A778" s="3">
        <v>777</v>
      </c>
      <c r="B778" s="3" t="str">
        <f>HYPERLINK("https://www.kmpharma.in/product/4613","N-Nitroso Bisoprolol EP Impurity A")</f>
        <v>N-Nitroso Bisoprolol EP Impurity A</v>
      </c>
      <c r="C778" s="3" t="str">
        <f>HYPERLINK("https://www.kmpharma.in/product/4613","KMB009062")</f>
        <v>KMB009062</v>
      </c>
      <c r="D778" s="3" t="s">
        <v>7</v>
      </c>
      <c r="E778" s="5" t="s">
        <v>321</v>
      </c>
    </row>
    <row r="779" spans="1:5" x14ac:dyDescent="0.25">
      <c r="A779" s="6">
        <v>778</v>
      </c>
      <c r="B779" s="6" t="str">
        <f>HYPERLINK("https://www.kmpharma.in/product/4614","N-Nitroso Bisoprolol EP Impurity E")</f>
        <v>N-Nitroso Bisoprolol EP Impurity E</v>
      </c>
      <c r="C779" s="6" t="str">
        <f>HYPERLINK("https://www.kmpharma.in/product/4614","KMB009063")</f>
        <v>KMB009063</v>
      </c>
      <c r="D779" s="6" t="s">
        <v>7</v>
      </c>
      <c r="E779" s="7" t="s">
        <v>321</v>
      </c>
    </row>
    <row r="780" spans="1:5" x14ac:dyDescent="0.25">
      <c r="A780" s="3">
        <v>779</v>
      </c>
      <c r="B780" s="3" t="str">
        <f>HYPERLINK("https://www.kmpharma.in/product/4615","N-Nitroso Bisoprolol EP Impurity G")</f>
        <v>N-Nitroso Bisoprolol EP Impurity G</v>
      </c>
      <c r="C780" s="3" t="str">
        <f>HYPERLINK("https://www.kmpharma.in/product/4615","KMB009064")</f>
        <v>KMB009064</v>
      </c>
      <c r="D780" s="3" t="s">
        <v>7</v>
      </c>
      <c r="E780" s="5" t="s">
        <v>321</v>
      </c>
    </row>
    <row r="781" spans="1:5" x14ac:dyDescent="0.25">
      <c r="A781" s="6">
        <v>780</v>
      </c>
      <c r="B781" s="6" t="str">
        <f>HYPERLINK("https://www.kmpharma.in/product/4611","N-Nitroso Bisoprolol EP Impurity K")</f>
        <v>N-Nitroso Bisoprolol EP Impurity K</v>
      </c>
      <c r="C781" s="6" t="str">
        <f>HYPERLINK("https://www.kmpharma.in/product/4611","KMB009065")</f>
        <v>KMB009065</v>
      </c>
      <c r="D781" s="6" t="s">
        <v>7</v>
      </c>
      <c r="E781" s="7" t="s">
        <v>321</v>
      </c>
    </row>
    <row r="782" spans="1:5" x14ac:dyDescent="0.25">
      <c r="A782" s="3">
        <v>781</v>
      </c>
      <c r="B782" s="3" t="str">
        <f>HYPERLINK("https://www.kmpharma.in/product/4641","N-Nitroso Bleomycin")</f>
        <v>N-Nitroso Bleomycin</v>
      </c>
      <c r="C782" s="3" t="str">
        <f>HYPERLINK("https://www.kmpharma.in/product/4641","KMB084022")</f>
        <v>KMB084022</v>
      </c>
      <c r="D782" s="3" t="s">
        <v>7</v>
      </c>
      <c r="E782" s="5" t="s">
        <v>321</v>
      </c>
    </row>
    <row r="783" spans="1:5" x14ac:dyDescent="0.25">
      <c r="A783" s="6">
        <v>782</v>
      </c>
      <c r="B783" s="6" t="str">
        <f>HYPERLINK("https://www.kmpharma.in/product/4713","N-Nitroso Bosutinib Impurity II")</f>
        <v>N-Nitroso Bosutinib Impurity II</v>
      </c>
      <c r="C783" s="6" t="str">
        <f>HYPERLINK("https://www.kmpharma.in/product/4713","KMB015029")</f>
        <v>KMB015029</v>
      </c>
      <c r="D783" s="6" t="s">
        <v>7</v>
      </c>
      <c r="E783" s="7" t="s">
        <v>321</v>
      </c>
    </row>
    <row r="784" spans="1:5" x14ac:dyDescent="0.25">
      <c r="A784" s="3">
        <v>783</v>
      </c>
      <c r="B784" s="3" t="str">
        <f>HYPERLINK("https://www.kmpharma.in/product/4811","N-Nitroso Brexpiprazole Impurity")</f>
        <v>N-Nitroso Brexpiprazole Impurity</v>
      </c>
      <c r="C784" s="3" t="str">
        <f>HYPERLINK("https://www.kmpharma.in/product/4811","KMB001086")</f>
        <v>KMB001086</v>
      </c>
      <c r="D784" s="3" t="s">
        <v>98</v>
      </c>
      <c r="E784" s="5" t="s">
        <v>323</v>
      </c>
    </row>
    <row r="785" spans="1:5" x14ac:dyDescent="0.25">
      <c r="A785" s="6">
        <v>784</v>
      </c>
      <c r="B785" s="6" t="str">
        <f>HYPERLINK("https://www.kmpharma.in/product/4810","N-Nitroso Brexpiprazole Impurity 1")</f>
        <v>N-Nitroso Brexpiprazole Impurity 1</v>
      </c>
      <c r="C785" s="6" t="str">
        <f>HYPERLINK("https://www.kmpharma.in/product/4810","KMB001087")</f>
        <v>KMB001087</v>
      </c>
      <c r="D785" s="6" t="s">
        <v>99</v>
      </c>
      <c r="E785" s="7" t="s">
        <v>321</v>
      </c>
    </row>
    <row r="786" spans="1:5" x14ac:dyDescent="0.25">
      <c r="A786" s="3">
        <v>785</v>
      </c>
      <c r="B786" s="3" t="str">
        <f>HYPERLINK("https://www.kmpharma.in/product/23036","N-Nitroso Brilliant Blue G")</f>
        <v>N-Nitroso Brilliant Blue G</v>
      </c>
      <c r="C786" s="3" t="str">
        <f>HYPERLINK("https://www.kmpharma.in/product/23036","KMN084056")</f>
        <v>KMN084056</v>
      </c>
      <c r="D786" s="3" t="s">
        <v>7</v>
      </c>
      <c r="E786" s="3" t="s">
        <v>16</v>
      </c>
    </row>
    <row r="787" spans="1:5" x14ac:dyDescent="0.25">
      <c r="A787" s="6">
        <v>786</v>
      </c>
      <c r="B787" s="6" t="str">
        <f>HYPERLINK("https://www.kmpharma.in/product/4881","N-Nitroso Brimonidine EP Impurity F")</f>
        <v>N-Nitroso Brimonidine EP Impurity F</v>
      </c>
      <c r="C787" s="6" t="str">
        <f>HYPERLINK("https://www.kmpharma.in/product/4881","KMB094056")</f>
        <v>KMB094056</v>
      </c>
      <c r="D787" s="6" t="s">
        <v>7</v>
      </c>
      <c r="E787" s="7" t="s">
        <v>323</v>
      </c>
    </row>
    <row r="788" spans="1:5" x14ac:dyDescent="0.25">
      <c r="A788" s="3">
        <v>787</v>
      </c>
      <c r="B788" s="3" t="str">
        <f>HYPERLINK("https://www.kmpharma.in/product/5077","N-Nitroso Bromocriptine")</f>
        <v>N-Nitroso Bromocriptine</v>
      </c>
      <c r="C788" s="3" t="str">
        <f>HYPERLINK("https://www.kmpharma.in/product/5077","KMB106014")</f>
        <v>KMB106014</v>
      </c>
      <c r="D788" s="3" t="s">
        <v>7</v>
      </c>
      <c r="E788" s="5" t="s">
        <v>323</v>
      </c>
    </row>
    <row r="789" spans="1:5" x14ac:dyDescent="0.25">
      <c r="A789" s="6">
        <v>788</v>
      </c>
      <c r="B789" s="6" t="str">
        <f>HYPERLINK("https://www.kmpharma.in/product/5181","N-Nitroso Bumetanide")</f>
        <v>N-Nitroso Bumetanide</v>
      </c>
      <c r="C789" s="6" t="str">
        <f>HYPERLINK("https://www.kmpharma.in/product/5181","KMB013016")</f>
        <v>KMB013016</v>
      </c>
      <c r="D789" s="6" t="s">
        <v>100</v>
      </c>
      <c r="E789" s="7" t="s">
        <v>323</v>
      </c>
    </row>
    <row r="790" spans="1:5" x14ac:dyDescent="0.25">
      <c r="A790" s="3">
        <v>789</v>
      </c>
      <c r="B790" s="3" t="str">
        <f>HYPERLINK("https://www.kmpharma.in/product/5208","N-Nitroso Bupivacaine EP Impurity E")</f>
        <v>N-Nitroso Bupivacaine EP Impurity E</v>
      </c>
      <c r="C790" s="3" t="str">
        <f>HYPERLINK("https://www.kmpharma.in/product/5208","KMB117027")</f>
        <v>KMB117027</v>
      </c>
      <c r="D790" s="3" t="s">
        <v>7</v>
      </c>
      <c r="E790" s="5" t="s">
        <v>323</v>
      </c>
    </row>
    <row r="791" spans="1:5" x14ac:dyDescent="0.25">
      <c r="A791" s="6">
        <v>790</v>
      </c>
      <c r="B791" s="6" t="str">
        <f>HYPERLINK("https://www.kmpharma.in/product/5227","N-Nitroso Buprenorphine EP Impurity B")</f>
        <v>N-Nitroso Buprenorphine EP Impurity B</v>
      </c>
      <c r="C791" s="6" t="str">
        <f>HYPERLINK("https://www.kmpharma.in/product/5227","KMB118017")</f>
        <v>KMB118017</v>
      </c>
      <c r="D791" s="6" t="s">
        <v>7</v>
      </c>
      <c r="E791" s="7" t="s">
        <v>323</v>
      </c>
    </row>
    <row r="792" spans="1:5" x14ac:dyDescent="0.25">
      <c r="A792" s="3">
        <v>791</v>
      </c>
      <c r="B792" s="3" t="str">
        <f>HYPERLINK("https://www.kmpharma.in/product/35559","N-Nitroso Bupropion")</f>
        <v>N-Nitroso Bupropion</v>
      </c>
      <c r="C792" s="3" t="str">
        <f>HYPERLINK("https://www.kmpharma.in/product/35559","KMB003064")</f>
        <v>KMB003064</v>
      </c>
      <c r="D792" s="3" t="s">
        <v>101</v>
      </c>
      <c r="E792" s="5" t="s">
        <v>326</v>
      </c>
    </row>
    <row r="793" spans="1:5" x14ac:dyDescent="0.25">
      <c r="A793" s="6">
        <v>792</v>
      </c>
      <c r="B793" s="6" t="str">
        <f>HYPERLINK("https://www.kmpharma.in/product/35562","N-Nitroso Bupropion 2'-Chloro Analog")</f>
        <v>N-Nitroso Bupropion 2'-Chloro Analog</v>
      </c>
      <c r="C793" s="6" t="str">
        <f>HYPERLINK("https://www.kmpharma.in/product/35562","KMB003065")</f>
        <v>KMB003065</v>
      </c>
      <c r="D793" s="6" t="s">
        <v>7</v>
      </c>
      <c r="E793" s="6" t="s">
        <v>16</v>
      </c>
    </row>
    <row r="794" spans="1:5" x14ac:dyDescent="0.25">
      <c r="A794" s="3">
        <v>793</v>
      </c>
      <c r="B794" s="3" t="str">
        <f>HYPERLINK("https://www.kmpharma.in/product/35563","N-Nitroso Bupropion 3,4-Dichloro Impurity")</f>
        <v>N-Nitroso Bupropion 3,4-Dichloro Impurity</v>
      </c>
      <c r="C794" s="3" t="str">
        <f>HYPERLINK("https://www.kmpharma.in/product/35563","KMB003066")</f>
        <v>KMB003066</v>
      </c>
      <c r="D794" s="3" t="s">
        <v>7</v>
      </c>
      <c r="E794" s="5" t="s">
        <v>323</v>
      </c>
    </row>
    <row r="795" spans="1:5" x14ac:dyDescent="0.25">
      <c r="A795" s="6">
        <v>794</v>
      </c>
      <c r="B795" s="6" t="str">
        <f>HYPERLINK("https://www.kmpharma.in/product/35564","N-Nitroso Bupropion 3,5-Dichloro Impurity")</f>
        <v>N-Nitroso Bupropion 3,5-Dichloro Impurity</v>
      </c>
      <c r="C795" s="6" t="str">
        <f>HYPERLINK("https://www.kmpharma.in/product/35564","KMB003067")</f>
        <v>KMB003067</v>
      </c>
      <c r="D795" s="6" t="s">
        <v>7</v>
      </c>
      <c r="E795" s="6" t="s">
        <v>16</v>
      </c>
    </row>
    <row r="796" spans="1:5" x14ac:dyDescent="0.25">
      <c r="A796" s="3">
        <v>795</v>
      </c>
      <c r="B796" s="3" t="str">
        <f>HYPERLINK("https://www.kmpharma.in/product/35565","N-Nitroso Bupropion Related Compound D")</f>
        <v>N-Nitroso Bupropion Related Compound D</v>
      </c>
      <c r="C796" s="3" t="str">
        <f>HYPERLINK("https://www.kmpharma.in/product/35565","KMB003068")</f>
        <v>KMB003068</v>
      </c>
      <c r="D796" s="3" t="s">
        <v>7</v>
      </c>
      <c r="E796" s="3" t="s">
        <v>16</v>
      </c>
    </row>
    <row r="797" spans="1:5" x14ac:dyDescent="0.25">
      <c r="A797" s="6">
        <v>796</v>
      </c>
      <c r="B797" s="6" t="str">
        <f>HYPERLINK("https://www.kmpharma.in/product/35560","N-Nitroso Bupropion USP Related Compound A")</f>
        <v>N-Nitroso Bupropion USP Related Compound A</v>
      </c>
      <c r="C797" s="6" t="str">
        <f>HYPERLINK("https://www.kmpharma.in/product/35560","KMB003069")</f>
        <v>KMB003069</v>
      </c>
      <c r="D797" s="6" t="s">
        <v>7</v>
      </c>
      <c r="E797" s="6" t="s">
        <v>16</v>
      </c>
    </row>
    <row r="798" spans="1:5" x14ac:dyDescent="0.25">
      <c r="A798" s="3">
        <v>797</v>
      </c>
      <c r="B798" s="3" t="str">
        <f>HYPERLINK("https://www.kmpharma.in/product/35566","N-Nitroso Bupropion USP Related Compound B")</f>
        <v>N-Nitroso Bupropion USP Related Compound B</v>
      </c>
      <c r="C798" s="3" t="str">
        <f>HYPERLINK("https://www.kmpharma.in/product/35566","KMB003070")</f>
        <v>KMB003070</v>
      </c>
      <c r="D798" s="3" t="s">
        <v>7</v>
      </c>
      <c r="E798" s="5" t="s">
        <v>322</v>
      </c>
    </row>
    <row r="799" spans="1:5" x14ac:dyDescent="0.25">
      <c r="A799" s="6">
        <v>798</v>
      </c>
      <c r="B799" s="6" t="str">
        <f>HYPERLINK("https://www.kmpharma.in/product/5386","N-Nitroso Cabergoline")</f>
        <v>N-Nitroso Cabergoline</v>
      </c>
      <c r="C799" s="6" t="str">
        <f>HYPERLINK("https://www.kmpharma.in/product/5386","KMC036014")</f>
        <v>KMC036014</v>
      </c>
      <c r="D799" s="6" t="s">
        <v>7</v>
      </c>
      <c r="E799" s="6" t="s">
        <v>16</v>
      </c>
    </row>
    <row r="800" spans="1:5" x14ac:dyDescent="0.25">
      <c r="A800" s="3">
        <v>799</v>
      </c>
      <c r="B800" s="3" t="str">
        <f>HYPERLINK("https://www.kmpharma.in/product/5451","N-Nitroso Cafedrine")</f>
        <v>N-Nitroso Cafedrine</v>
      </c>
      <c r="C800" s="3" t="str">
        <f>HYPERLINK("https://www.kmpharma.in/product/5451","KMC039003")</f>
        <v>KMC039003</v>
      </c>
      <c r="D800" s="3" t="s">
        <v>7</v>
      </c>
      <c r="E800" s="3" t="s">
        <v>16</v>
      </c>
    </row>
    <row r="801" spans="1:5" x14ac:dyDescent="0.25">
      <c r="A801" s="6">
        <v>800</v>
      </c>
      <c r="B801" s="6" t="str">
        <f>HYPERLINK("https://www.kmpharma.in/product/5480","N-Nitroso Caffeine Impurity 1")</f>
        <v>N-Nitroso Caffeine Impurity 1</v>
      </c>
      <c r="C801" s="6" t="str">
        <f>HYPERLINK("https://www.kmpharma.in/product/5480","KMC041021")</f>
        <v>KMC041021</v>
      </c>
      <c r="D801" s="6" t="s">
        <v>7</v>
      </c>
      <c r="E801" s="6" t="s">
        <v>16</v>
      </c>
    </row>
    <row r="802" spans="1:5" x14ac:dyDescent="0.25">
      <c r="A802" s="3">
        <v>801</v>
      </c>
      <c r="B802" s="3" t="str">
        <f>HYPERLINK("https://www.kmpharma.in/product/5481","N-Nitroso Caffeine Impurity 2")</f>
        <v>N-Nitroso Caffeine Impurity 2</v>
      </c>
      <c r="C802" s="3" t="str">
        <f>HYPERLINK("https://www.kmpharma.in/product/5481","KMC041022")</f>
        <v>KMC041022</v>
      </c>
      <c r="D802" s="3" t="s">
        <v>7</v>
      </c>
      <c r="E802" s="3" t="s">
        <v>16</v>
      </c>
    </row>
    <row r="803" spans="1:5" x14ac:dyDescent="0.25">
      <c r="A803" s="6">
        <v>802</v>
      </c>
      <c r="B803" s="6" t="str">
        <f>HYPERLINK("https://www.kmpharma.in/product/5482","N-Nitroso Caffeine Impurity 3")</f>
        <v>N-Nitroso Caffeine Impurity 3</v>
      </c>
      <c r="C803" s="6" t="str">
        <f>HYPERLINK("https://www.kmpharma.in/product/5482","KMC041023")</f>
        <v>KMC041023</v>
      </c>
      <c r="D803" s="6" t="s">
        <v>7</v>
      </c>
      <c r="E803" s="6" t="s">
        <v>16</v>
      </c>
    </row>
    <row r="804" spans="1:5" x14ac:dyDescent="0.25">
      <c r="A804" s="3">
        <v>803</v>
      </c>
      <c r="B804" s="3" t="str">
        <f>HYPERLINK("https://www.kmpharma.in/product/5737","N-Nitroso Candesartan Cilexetil Impurity")</f>
        <v>N-Nitroso Candesartan Cilexetil Impurity</v>
      </c>
      <c r="C804" s="3" t="str">
        <f>HYPERLINK("https://www.kmpharma.in/product/5737","KMC057053")</f>
        <v>KMC057053</v>
      </c>
      <c r="D804" s="3" t="s">
        <v>7</v>
      </c>
      <c r="E804" s="5" t="s">
        <v>326</v>
      </c>
    </row>
    <row r="805" spans="1:5" x14ac:dyDescent="0.25">
      <c r="A805" s="6">
        <v>804</v>
      </c>
      <c r="B805" s="6" t="str">
        <f>HYPERLINK("https://www.kmpharma.in/product/5760","N-Nitroso Cangrelor")</f>
        <v>N-Nitroso Cangrelor</v>
      </c>
      <c r="C805" s="6" t="str">
        <f>HYPERLINK("https://www.kmpharma.in/product/5760","KMC059022")</f>
        <v>KMC059022</v>
      </c>
      <c r="D805" s="6" t="s">
        <v>7</v>
      </c>
      <c r="E805" s="7" t="s">
        <v>323</v>
      </c>
    </row>
    <row r="806" spans="1:5" x14ac:dyDescent="0.25">
      <c r="A806" s="3">
        <v>805</v>
      </c>
      <c r="B806" s="3" t="str">
        <f>HYPERLINK("https://www.kmpharma.in/product/5938","N-Nitroso Carbamazepine EP Impurity D")</f>
        <v>N-Nitroso Carbamazepine EP Impurity D</v>
      </c>
      <c r="C806" s="3" t="str">
        <f>HYPERLINK("https://www.kmpharma.in/product/5938","KMC029037")</f>
        <v>KMC029037</v>
      </c>
      <c r="D806" s="3" t="s">
        <v>102</v>
      </c>
      <c r="E806" s="3" t="s">
        <v>16</v>
      </c>
    </row>
    <row r="807" spans="1:5" x14ac:dyDescent="0.25">
      <c r="A807" s="6">
        <v>806</v>
      </c>
      <c r="B807" s="6" t="str">
        <f>HYPERLINK("https://www.kmpharma.in/product/252","N-Nitroso Carbamazepine EP Impurity E")</f>
        <v>N-Nitroso Carbamazepine EP Impurity E</v>
      </c>
      <c r="C807" s="6" t="str">
        <f>HYPERLINK("https://www.kmpharma.in/product/252","KMC029001")</f>
        <v>KMC029001</v>
      </c>
      <c r="D807" s="6" t="s">
        <v>103</v>
      </c>
      <c r="E807" s="7" t="s">
        <v>323</v>
      </c>
    </row>
    <row r="808" spans="1:5" x14ac:dyDescent="0.25">
      <c r="A808" s="3">
        <v>807</v>
      </c>
      <c r="B808" s="3" t="str">
        <f>HYPERLINK("https://www.kmpharma.in/product/35568","N-Nitroso Carbamazepine EP Impurity E")</f>
        <v>N-Nitroso Carbamazepine EP Impurity E</v>
      </c>
      <c r="C808" s="3" t="str">
        <f>HYPERLINK("https://www.kmpharma.in/product/35568","KMC029038")</f>
        <v>KMC029038</v>
      </c>
      <c r="D808" s="3" t="s">
        <v>103</v>
      </c>
      <c r="E808" s="3" t="s">
        <v>16</v>
      </c>
    </row>
    <row r="809" spans="1:5" x14ac:dyDescent="0.25">
      <c r="A809" s="6">
        <v>808</v>
      </c>
      <c r="B809" s="6" t="str">
        <f>HYPERLINK("https://www.kmpharma.in/product/5975","N-Nitroso Carbidopa")</f>
        <v>N-Nitroso Carbidopa</v>
      </c>
      <c r="C809" s="6" t="str">
        <f>HYPERLINK("https://www.kmpharma.in/product/5975","KMC022028")</f>
        <v>KMC022028</v>
      </c>
      <c r="D809" s="6" t="s">
        <v>7</v>
      </c>
      <c r="E809" s="6" t="s">
        <v>16</v>
      </c>
    </row>
    <row r="810" spans="1:5" x14ac:dyDescent="0.25">
      <c r="A810" s="3">
        <v>809</v>
      </c>
      <c r="B810" s="3" t="str">
        <f>HYPERLINK("https://www.kmpharma.in/product/6216","N-Nitroso Cariprazine")</f>
        <v>N-Nitroso Cariprazine</v>
      </c>
      <c r="C810" s="3" t="str">
        <f>HYPERLINK("https://www.kmpharma.in/product/6216","KMC078062")</f>
        <v>KMC078062</v>
      </c>
      <c r="D810" s="3" t="s">
        <v>7</v>
      </c>
      <c r="E810" s="5" t="s">
        <v>326</v>
      </c>
    </row>
    <row r="811" spans="1:5" x14ac:dyDescent="0.25">
      <c r="A811" s="6">
        <v>810</v>
      </c>
      <c r="B811" s="6" t="str">
        <f>HYPERLINK("https://www.kmpharma.in/product/6268","N-Nitroso Carteolol")</f>
        <v>N-Nitroso Carteolol</v>
      </c>
      <c r="C811" s="6" t="str">
        <f>HYPERLINK("https://www.kmpharma.in/product/6268","KMC082011")</f>
        <v>KMC082011</v>
      </c>
      <c r="D811" s="6" t="s">
        <v>7</v>
      </c>
      <c r="E811" s="7" t="s">
        <v>322</v>
      </c>
    </row>
    <row r="812" spans="1:5" x14ac:dyDescent="0.25">
      <c r="A812" s="3">
        <v>811</v>
      </c>
      <c r="B812" s="3" t="str">
        <f>HYPERLINK("https://www.kmpharma.in/product/6314","N-Nitroso Carvedilol")</f>
        <v>N-Nitroso Carvedilol</v>
      </c>
      <c r="C812" s="3" t="str">
        <f>HYPERLINK("https://www.kmpharma.in/product/6314","KMC005048")</f>
        <v>KMC005048</v>
      </c>
      <c r="D812" s="3" t="s">
        <v>44</v>
      </c>
      <c r="E812" s="3" t="s">
        <v>16</v>
      </c>
    </row>
    <row r="813" spans="1:5" x14ac:dyDescent="0.25">
      <c r="A813" s="6">
        <v>812</v>
      </c>
      <c r="B813" s="6" t="str">
        <f>HYPERLINK("https://www.kmpharma.in/product/6315","N-Nitroso Carvedilol Carbazole Impurity")</f>
        <v>N-Nitroso Carvedilol Carbazole Impurity</v>
      </c>
      <c r="C813" s="6" t="str">
        <f>HYPERLINK("https://www.kmpharma.in/product/6315","KMC005049")</f>
        <v>KMC005049</v>
      </c>
      <c r="D813" s="6" t="s">
        <v>104</v>
      </c>
      <c r="E813" s="6" t="s">
        <v>16</v>
      </c>
    </row>
    <row r="814" spans="1:5" x14ac:dyDescent="0.25">
      <c r="A814" s="3">
        <v>813</v>
      </c>
      <c r="B814" s="3" t="str">
        <f>HYPERLINK("https://www.kmpharma.in/product/6359","N-Nitroso Caspofungin")</f>
        <v>N-Nitroso Caspofungin</v>
      </c>
      <c r="C814" s="3" t="str">
        <f>HYPERLINK("https://www.kmpharma.in/product/6359","KMC086030")</f>
        <v>KMC086030</v>
      </c>
      <c r="D814" s="3" t="s">
        <v>7</v>
      </c>
      <c r="E814" s="3" t="s">
        <v>16</v>
      </c>
    </row>
    <row r="815" spans="1:5" x14ac:dyDescent="0.25">
      <c r="A815" s="6">
        <v>814</v>
      </c>
      <c r="B815" s="6" t="str">
        <f>HYPERLINK("https://www.kmpharma.in/product/6428","N-Nitroso Cefalexin Diketopiperazine")</f>
        <v>N-Nitroso Cefalexin Diketopiperazine</v>
      </c>
      <c r="C815" s="6" t="str">
        <f>HYPERLINK("https://www.kmpharma.in/product/6428","KMC093026")</f>
        <v>KMC093026</v>
      </c>
      <c r="D815" s="6" t="s">
        <v>7</v>
      </c>
      <c r="E815" s="7" t="s">
        <v>323</v>
      </c>
    </row>
    <row r="816" spans="1:5" x14ac:dyDescent="0.25">
      <c r="A816" s="3">
        <v>815</v>
      </c>
      <c r="B816" s="3" t="str">
        <f>HYPERLINK("https://www.kmpharma.in/product/6426","N-Nitroso Cefalexin Diketopiperazine Monoacid")</f>
        <v>N-Nitroso Cefalexin Diketopiperazine Monoacid</v>
      </c>
      <c r="C816" s="3" t="str">
        <f>HYPERLINK("https://www.kmpharma.in/product/6426","KMC093027")</f>
        <v>KMC093027</v>
      </c>
      <c r="D816" s="3" t="s">
        <v>7</v>
      </c>
      <c r="E816" s="5" t="s">
        <v>322</v>
      </c>
    </row>
    <row r="817" spans="1:5" x14ac:dyDescent="0.25">
      <c r="A817" s="6">
        <v>816</v>
      </c>
      <c r="B817" s="6" t="str">
        <f>HYPERLINK("https://www.kmpharma.in/product/6489","N-Nitroso Cefepime Impurity")</f>
        <v>N-Nitroso Cefepime Impurity</v>
      </c>
      <c r="C817" s="6" t="str">
        <f>HYPERLINK("https://www.kmpharma.in/product/6489","KMC100016")</f>
        <v>KMC100016</v>
      </c>
      <c r="D817" s="6" t="s">
        <v>7</v>
      </c>
      <c r="E817" s="6" t="s">
        <v>16</v>
      </c>
    </row>
    <row r="818" spans="1:5" x14ac:dyDescent="0.25">
      <c r="A818" s="3">
        <v>817</v>
      </c>
      <c r="B818" s="3" t="str">
        <f>HYPERLINK("https://www.kmpharma.in/product/6799","N-Nitroso Celiprolol")</f>
        <v>N-Nitroso Celiprolol</v>
      </c>
      <c r="C818" s="3" t="str">
        <f>HYPERLINK("https://www.kmpharma.in/product/6799","KMC125017")</f>
        <v>KMC125017</v>
      </c>
      <c r="D818" s="3" t="s">
        <v>7</v>
      </c>
      <c r="E818" s="5" t="s">
        <v>323</v>
      </c>
    </row>
    <row r="819" spans="1:5" x14ac:dyDescent="0.25">
      <c r="A819" s="6">
        <v>818</v>
      </c>
      <c r="B819" s="6" t="str">
        <f>HYPERLINK("https://www.kmpharma.in/product/7051","N-Nitroso Chlordiazepoxide")</f>
        <v>N-Nitroso Chlordiazepoxide</v>
      </c>
      <c r="C819" s="6" t="str">
        <f>HYPERLINK("https://www.kmpharma.in/product/7051","KMC019011")</f>
        <v>KMC019011</v>
      </c>
      <c r="D819" s="6" t="s">
        <v>105</v>
      </c>
      <c r="E819" s="7" t="s">
        <v>323</v>
      </c>
    </row>
    <row r="820" spans="1:5" x14ac:dyDescent="0.25">
      <c r="A820" s="3">
        <v>819</v>
      </c>
      <c r="B820" s="3" t="str">
        <f>HYPERLINK("https://www.kmpharma.in/product/18311","N-Nitroso Chlorobenzhydryl Piperazine")</f>
        <v>N-Nitroso Chlorobenzhydryl Piperazine</v>
      </c>
      <c r="C820" s="3" t="str">
        <f>HYPERLINK("https://www.kmpharma.in/product/18311","KML026035")</f>
        <v>KML026035</v>
      </c>
      <c r="D820" s="3" t="s">
        <v>7</v>
      </c>
      <c r="E820" s="3" t="s">
        <v>16</v>
      </c>
    </row>
    <row r="821" spans="1:5" x14ac:dyDescent="0.25">
      <c r="A821" s="6">
        <v>820</v>
      </c>
      <c r="B821" s="6" t="str">
        <f>HYPERLINK("https://www.kmpharma.in/product/169","N-Nitroso Chloroquine")</f>
        <v>N-Nitroso Chloroquine</v>
      </c>
      <c r="C821" s="6" t="str">
        <f>HYPERLINK("https://www.kmpharma.in/product/169","KMC004001")</f>
        <v>KMC004001</v>
      </c>
      <c r="D821" s="6" t="s">
        <v>35</v>
      </c>
      <c r="E821" s="6" t="s">
        <v>16</v>
      </c>
    </row>
    <row r="822" spans="1:5" x14ac:dyDescent="0.25">
      <c r="A822" s="3">
        <v>821</v>
      </c>
      <c r="B822" s="3" t="str">
        <f>HYPERLINK("https://www.kmpharma.in/product/35602","N-Nitroso Chloroquine")</f>
        <v>N-Nitroso Chloroquine</v>
      </c>
      <c r="C822" s="3" t="str">
        <f>HYPERLINK("https://www.kmpharma.in/product/35602","KMC004006")</f>
        <v>KMC004006</v>
      </c>
      <c r="D822" s="3" t="s">
        <v>7</v>
      </c>
      <c r="E822" s="3" t="s">
        <v>16</v>
      </c>
    </row>
    <row r="823" spans="1:5" x14ac:dyDescent="0.25">
      <c r="A823" s="6">
        <v>822</v>
      </c>
      <c r="B823" s="6" t="str">
        <f>HYPERLINK("https://www.kmpharma.in/product/7120","N-Nitroso Chlorothiazide")</f>
        <v>N-Nitroso Chlorothiazide</v>
      </c>
      <c r="C823" s="6" t="str">
        <f>HYPERLINK("https://www.kmpharma.in/product/7120","KMC147002")</f>
        <v>KMC147002</v>
      </c>
      <c r="D823" s="6" t="s">
        <v>7</v>
      </c>
      <c r="E823" s="6" t="s">
        <v>16</v>
      </c>
    </row>
    <row r="824" spans="1:5" x14ac:dyDescent="0.25">
      <c r="A824" s="3">
        <v>823</v>
      </c>
      <c r="B824" s="3" t="str">
        <f>HYPERLINK("https://www.kmpharma.in/product/7149","N-Nitroso Chlorphenamine EP Impurity C")</f>
        <v>N-Nitroso Chlorphenamine EP Impurity C</v>
      </c>
      <c r="C824" s="3" t="str">
        <f>HYPERLINK("https://www.kmpharma.in/product/7149","KMC149024")</f>
        <v>KMC149024</v>
      </c>
      <c r="D824" s="3" t="s">
        <v>7</v>
      </c>
      <c r="E824" s="3" t="s">
        <v>16</v>
      </c>
    </row>
    <row r="825" spans="1:5" x14ac:dyDescent="0.25">
      <c r="A825" s="6">
        <v>824</v>
      </c>
      <c r="B825" s="6" t="str">
        <f>HYPERLINK("https://www.kmpharma.in/product/7153","N-Nitroso Chlorphenamine EP Impurity C-D4")</f>
        <v>N-Nitroso Chlorphenamine EP Impurity C-D4</v>
      </c>
      <c r="C825" s="6" t="str">
        <f>HYPERLINK("https://www.kmpharma.in/product/7153","KMC149025")</f>
        <v>KMC149025</v>
      </c>
      <c r="D825" s="6" t="s">
        <v>7</v>
      </c>
      <c r="E825" s="6" t="s">
        <v>16</v>
      </c>
    </row>
    <row r="826" spans="1:5" x14ac:dyDescent="0.25">
      <c r="A826" s="3">
        <v>825</v>
      </c>
      <c r="B826" s="3" t="str">
        <f>HYPERLINK("https://www.kmpharma.in/product/7225","N-Nitroso Chlortalidone")</f>
        <v>N-Nitroso Chlortalidone</v>
      </c>
      <c r="C826" s="3" t="str">
        <f>HYPERLINK("https://www.kmpharma.in/product/7225","KMC155033")</f>
        <v>KMC155033</v>
      </c>
      <c r="D826" s="3" t="s">
        <v>7</v>
      </c>
      <c r="E826" s="3" t="s">
        <v>16</v>
      </c>
    </row>
    <row r="827" spans="1:5" x14ac:dyDescent="0.25">
      <c r="A827" s="6">
        <v>826</v>
      </c>
      <c r="B827" s="6" t="str">
        <f>HYPERLINK("https://www.kmpharma.in/product/7343","N-Nitroso Cilazapril")</f>
        <v>N-Nitroso Cilazapril</v>
      </c>
      <c r="C827" s="6" t="str">
        <f>HYPERLINK("https://www.kmpharma.in/product/7343","KMC167007")</f>
        <v>KMC167007</v>
      </c>
      <c r="D827" s="6" t="s">
        <v>106</v>
      </c>
      <c r="E827" s="7" t="s">
        <v>323</v>
      </c>
    </row>
    <row r="828" spans="1:5" x14ac:dyDescent="0.25">
      <c r="A828" s="3">
        <v>827</v>
      </c>
      <c r="B828" s="3" t="str">
        <f>HYPERLINK("https://www.kmpharma.in/product/7344","N-Nitroso Cilazapril D2")</f>
        <v>N-Nitroso Cilazapril D2</v>
      </c>
      <c r="C828" s="3" t="str">
        <f>HYPERLINK("https://www.kmpharma.in/product/7344","KMC167008")</f>
        <v>KMC167008</v>
      </c>
      <c r="D828" s="3" t="s">
        <v>7</v>
      </c>
      <c r="E828" s="3" t="s">
        <v>16</v>
      </c>
    </row>
    <row r="829" spans="1:5" x14ac:dyDescent="0.25">
      <c r="A829" s="6">
        <v>828</v>
      </c>
      <c r="B829" s="6" t="str">
        <f>HYPERLINK("https://www.kmpharma.in/product/7383","N-Nitroso Cilostazol")</f>
        <v>N-Nitroso Cilostazol</v>
      </c>
      <c r="C829" s="6" t="str">
        <f>HYPERLINK("https://www.kmpharma.in/product/7383","KMC032029")</f>
        <v>KMC032029</v>
      </c>
      <c r="D829" s="6" t="s">
        <v>7</v>
      </c>
      <c r="E829" s="7" t="s">
        <v>323</v>
      </c>
    </row>
    <row r="830" spans="1:5" x14ac:dyDescent="0.25">
      <c r="A830" s="3">
        <v>829</v>
      </c>
      <c r="B830" s="3" t="str">
        <f>HYPERLINK("https://www.kmpharma.in/product/208","N-Nitroso Cinacalcet")</f>
        <v>N-Nitroso Cinacalcet</v>
      </c>
      <c r="C830" s="3" t="str">
        <f>HYPERLINK("https://www.kmpharma.in/product/208","KMC008001")</f>
        <v>KMC008001</v>
      </c>
      <c r="D830" s="3" t="s">
        <v>35</v>
      </c>
      <c r="E830" s="5" t="s">
        <v>321</v>
      </c>
    </row>
    <row r="831" spans="1:5" x14ac:dyDescent="0.25">
      <c r="A831" s="6">
        <v>830</v>
      </c>
      <c r="B831" s="6" t="str">
        <f>HYPERLINK("https://www.kmpharma.in/product/7490","N-Nitroso Cinacalcet D3")</f>
        <v>N-Nitroso Cinacalcet D3</v>
      </c>
      <c r="C831" s="6" t="str">
        <f>HYPERLINK("https://www.kmpharma.in/product/7490","KMC008081")</f>
        <v>KMC008081</v>
      </c>
      <c r="D831" s="6" t="s">
        <v>7</v>
      </c>
      <c r="E831" s="7" t="s">
        <v>321</v>
      </c>
    </row>
    <row r="832" spans="1:5" x14ac:dyDescent="0.25">
      <c r="A832" s="3">
        <v>831</v>
      </c>
      <c r="B832" s="3" t="str">
        <f>HYPERLINK("https://www.kmpharma.in/product/7513","N-Nitroso Cinnarizine EP Impurity A")</f>
        <v>N-Nitroso Cinnarizine EP Impurity A</v>
      </c>
      <c r="C832" s="3" t="str">
        <f>HYPERLINK("https://www.kmpharma.in/product/7513","KMC174009")</f>
        <v>KMC174009</v>
      </c>
      <c r="D832" s="3" t="s">
        <v>107</v>
      </c>
      <c r="E832" s="3" t="s">
        <v>16</v>
      </c>
    </row>
    <row r="833" spans="1:5" x14ac:dyDescent="0.25">
      <c r="A833" s="6">
        <v>832</v>
      </c>
      <c r="B833" s="6" t="str">
        <f>HYPERLINK("https://www.kmpharma.in/product/7557","N-Nitroso Ciprofloxacin")</f>
        <v>N-Nitroso Ciprofloxacin</v>
      </c>
      <c r="C833" s="6" t="str">
        <f>HYPERLINK("https://www.kmpharma.in/product/7557","KMC009037")</f>
        <v>KMC009037</v>
      </c>
      <c r="D833" s="6" t="s">
        <v>108</v>
      </c>
      <c r="E833" s="7" t="s">
        <v>321</v>
      </c>
    </row>
    <row r="834" spans="1:5" x14ac:dyDescent="0.25">
      <c r="A834" s="3">
        <v>833</v>
      </c>
      <c r="B834" s="3" t="str">
        <f>HYPERLINK("https://www.kmpharma.in/product/7556","N-Nitroso Ciprofloxacin D8")</f>
        <v>N-Nitroso Ciprofloxacin D8</v>
      </c>
      <c r="C834" s="3" t="str">
        <f>HYPERLINK("https://www.kmpharma.in/product/7556","KMC009038")</f>
        <v>KMC009038</v>
      </c>
      <c r="D834" s="3" t="s">
        <v>7</v>
      </c>
      <c r="E834" s="5" t="s">
        <v>321</v>
      </c>
    </row>
    <row r="835" spans="1:5" x14ac:dyDescent="0.25">
      <c r="A835" s="6">
        <v>834</v>
      </c>
      <c r="B835" s="6" t="str">
        <f>HYPERLINK("https://www.kmpharma.in/product/7558","N-Nitroso Ciprofloxacin EP Impurity B")</f>
        <v>N-Nitroso Ciprofloxacin EP Impurity B</v>
      </c>
      <c r="C835" s="6" t="str">
        <f>HYPERLINK("https://www.kmpharma.in/product/7558","KMC009039")</f>
        <v>KMC009039</v>
      </c>
      <c r="D835" s="6" t="s">
        <v>7</v>
      </c>
      <c r="E835" s="6" t="s">
        <v>16</v>
      </c>
    </row>
    <row r="836" spans="1:5" x14ac:dyDescent="0.25">
      <c r="A836" s="3">
        <v>835</v>
      </c>
      <c r="B836" s="3" t="str">
        <f>HYPERLINK("https://www.kmpharma.in/product/7559","N-Nitroso Ciprofloxacin EP Impurity C")</f>
        <v>N-Nitroso Ciprofloxacin EP Impurity C</v>
      </c>
      <c r="C836" s="3" t="str">
        <f>HYPERLINK("https://www.kmpharma.in/product/7559","KMC009040")</f>
        <v>KMC009040</v>
      </c>
      <c r="D836" s="3" t="s">
        <v>7</v>
      </c>
      <c r="E836" s="5" t="s">
        <v>322</v>
      </c>
    </row>
    <row r="837" spans="1:5" x14ac:dyDescent="0.25">
      <c r="A837" s="6">
        <v>836</v>
      </c>
      <c r="B837" s="6" t="str">
        <f>HYPERLINK("https://www.kmpharma.in/product/7560","N-Nitroso Ciprofloxacin EP Impurity D")</f>
        <v>N-Nitroso Ciprofloxacin EP Impurity D</v>
      </c>
      <c r="C837" s="6" t="str">
        <f>HYPERLINK("https://www.kmpharma.in/product/7560","KMC009041")</f>
        <v>KMC009041</v>
      </c>
      <c r="D837" s="6" t="s">
        <v>7</v>
      </c>
      <c r="E837" s="7" t="s">
        <v>322</v>
      </c>
    </row>
    <row r="838" spans="1:5" x14ac:dyDescent="0.25">
      <c r="A838" s="3">
        <v>837</v>
      </c>
      <c r="B838" s="3" t="str">
        <f>HYPERLINK("https://www.kmpharma.in/product/7561","N-Nitroso Ciprofloxacin EP Impurity E")</f>
        <v>N-Nitroso Ciprofloxacin EP Impurity E</v>
      </c>
      <c r="C838" s="3" t="str">
        <f>HYPERLINK("https://www.kmpharma.in/product/7561","KMC009042")</f>
        <v>KMC009042</v>
      </c>
      <c r="D838" s="3" t="s">
        <v>7</v>
      </c>
      <c r="E838" s="5" t="s">
        <v>326</v>
      </c>
    </row>
    <row r="839" spans="1:5" x14ac:dyDescent="0.25">
      <c r="A839" s="6">
        <v>838</v>
      </c>
      <c r="B839" s="6" t="str">
        <f>HYPERLINK("https://www.kmpharma.in/product/7562","N-Nitroso Ciprofloxacin EP Impurity F")</f>
        <v>N-Nitroso Ciprofloxacin EP Impurity F</v>
      </c>
      <c r="C839" s="6" t="str">
        <f>HYPERLINK("https://www.kmpharma.in/product/7562","KMC009043")</f>
        <v>KMC009043</v>
      </c>
      <c r="D839" s="6" t="s">
        <v>7</v>
      </c>
      <c r="E839" s="6" t="s">
        <v>16</v>
      </c>
    </row>
    <row r="840" spans="1:5" x14ac:dyDescent="0.25">
      <c r="A840" s="3">
        <v>839</v>
      </c>
      <c r="B840" s="3" t="str">
        <f>HYPERLINK("https://www.kmpharma.in/product/7770","N-Nitroso Clenbuterol")</f>
        <v>N-Nitroso Clenbuterol</v>
      </c>
      <c r="C840" s="3" t="str">
        <f>HYPERLINK("https://www.kmpharma.in/product/7770","KMC187008")</f>
        <v>KMC187008</v>
      </c>
      <c r="D840" s="3" t="s">
        <v>7</v>
      </c>
      <c r="E840" s="3" t="s">
        <v>16</v>
      </c>
    </row>
    <row r="841" spans="1:5" x14ac:dyDescent="0.25">
      <c r="A841" s="6">
        <v>840</v>
      </c>
      <c r="B841" s="6" t="str">
        <f>HYPERLINK("https://www.kmpharma.in/product/7793","N-Nitroso Clevidipine")</f>
        <v>N-Nitroso Clevidipine</v>
      </c>
      <c r="C841" s="6" t="str">
        <f>HYPERLINK("https://www.kmpharma.in/product/7793","KMC191015")</f>
        <v>KMC191015</v>
      </c>
      <c r="D841" s="6" t="s">
        <v>7</v>
      </c>
      <c r="E841" s="7" t="s">
        <v>321</v>
      </c>
    </row>
    <row r="842" spans="1:5" x14ac:dyDescent="0.25">
      <c r="A842" s="3">
        <v>841</v>
      </c>
      <c r="B842" s="3" t="str">
        <f>HYPERLINK("https://www.kmpharma.in/product/7886","N-Nitroso Clindamycin")</f>
        <v>N-Nitroso Clindamycin</v>
      </c>
      <c r="C842" s="3" t="str">
        <f>HYPERLINK("https://www.kmpharma.in/product/7886","KMC025087")</f>
        <v>KMC025087</v>
      </c>
      <c r="D842" s="3" t="s">
        <v>7</v>
      </c>
      <c r="E842" s="5" t="s">
        <v>321</v>
      </c>
    </row>
    <row r="843" spans="1:5" x14ac:dyDescent="0.25">
      <c r="A843" s="6">
        <v>842</v>
      </c>
      <c r="B843" s="6" t="str">
        <f>HYPERLINK("https://www.kmpharma.in/product/227","N-Nitroso Clobazam EP Impurity E")</f>
        <v>N-Nitroso Clobazam EP Impurity E</v>
      </c>
      <c r="C843" s="6" t="str">
        <f>HYPERLINK("https://www.kmpharma.in/product/227","KMC014001")</f>
        <v>KMC014001</v>
      </c>
      <c r="D843" s="6" t="s">
        <v>35</v>
      </c>
      <c r="E843" s="6" t="s">
        <v>16</v>
      </c>
    </row>
    <row r="844" spans="1:5" x14ac:dyDescent="0.25">
      <c r="A844" s="3">
        <v>843</v>
      </c>
      <c r="B844" s="3" t="str">
        <f>HYPERLINK("https://www.kmpharma.in/product/35627","N-Nitroso Clobazam EP Impurity E")</f>
        <v>N-Nitroso Clobazam EP Impurity E</v>
      </c>
      <c r="C844" s="3" t="str">
        <f>HYPERLINK("https://www.kmpharma.in/product/35627","KMC014020")</f>
        <v>KMC014020</v>
      </c>
      <c r="D844" s="3" t="s">
        <v>7</v>
      </c>
      <c r="E844" s="5" t="s">
        <v>322</v>
      </c>
    </row>
    <row r="845" spans="1:5" x14ac:dyDescent="0.25">
      <c r="A845" s="6">
        <v>844</v>
      </c>
      <c r="B845" s="6" t="str">
        <f>HYPERLINK("https://www.kmpharma.in/product/7910","N-Nitroso Clobazam EP Impurity F")</f>
        <v>N-Nitroso Clobazam EP Impurity F</v>
      </c>
      <c r="C845" s="6" t="str">
        <f>HYPERLINK("https://www.kmpharma.in/product/7910","KMC014021")</f>
        <v>KMC014021</v>
      </c>
      <c r="D845" s="6" t="s">
        <v>7</v>
      </c>
      <c r="E845" s="7" t="s">
        <v>322</v>
      </c>
    </row>
    <row r="846" spans="1:5" x14ac:dyDescent="0.25">
      <c r="A846" s="3">
        <v>845</v>
      </c>
      <c r="B846" s="3" t="str">
        <f>HYPERLINK("https://www.kmpharma.in/product/7913","N-Nitroso Clobenzorex")</f>
        <v>N-Nitroso Clobenzorex</v>
      </c>
      <c r="C846" s="3" t="str">
        <f>HYPERLINK("https://www.kmpharma.in/product/7913","KMC194002")</f>
        <v>KMC194002</v>
      </c>
      <c r="D846" s="3" t="s">
        <v>7</v>
      </c>
      <c r="E846" s="5" t="s">
        <v>321</v>
      </c>
    </row>
    <row r="847" spans="1:5" x14ac:dyDescent="0.25">
      <c r="A847" s="6">
        <v>846</v>
      </c>
      <c r="B847" s="6" t="str">
        <f>HYPERLINK("https://www.kmpharma.in/product/8085","N-Nitroso Clomipramine EP Impurity F")</f>
        <v>N-Nitroso Clomipramine EP Impurity F</v>
      </c>
      <c r="C847" s="6" t="str">
        <f>HYPERLINK("https://www.kmpharma.in/product/8085","KMC015055")</f>
        <v>KMC015055</v>
      </c>
      <c r="D847" s="6" t="s">
        <v>109</v>
      </c>
      <c r="E847" s="6" t="s">
        <v>16</v>
      </c>
    </row>
    <row r="848" spans="1:5" x14ac:dyDescent="0.25">
      <c r="A848" s="3">
        <v>847</v>
      </c>
      <c r="B848" s="3" t="str">
        <f>HYPERLINK("https://www.kmpharma.in/product/8108","N-Nitroso Clonazepam")</f>
        <v>N-Nitroso Clonazepam</v>
      </c>
      <c r="C848" s="3" t="str">
        <f>HYPERLINK("https://www.kmpharma.in/product/8108","KMC021023")</f>
        <v>KMC021023</v>
      </c>
      <c r="D848" s="3" t="s">
        <v>7</v>
      </c>
      <c r="E848" s="5" t="s">
        <v>323</v>
      </c>
    </row>
    <row r="849" spans="1:5" x14ac:dyDescent="0.25">
      <c r="A849" s="6">
        <v>848</v>
      </c>
      <c r="B849" s="6" t="str">
        <f>HYPERLINK("https://www.kmpharma.in/product/236","N-Nitroso Clonidine EP Impurity A")</f>
        <v>N-Nitroso Clonidine EP Impurity A</v>
      </c>
      <c r="C849" s="6" t="str">
        <f>HYPERLINK("https://www.kmpharma.in/product/236","KMC003006")</f>
        <v>KMC003006</v>
      </c>
      <c r="D849" s="6" t="s">
        <v>35</v>
      </c>
      <c r="E849" s="6" t="s">
        <v>16</v>
      </c>
    </row>
    <row r="850" spans="1:5" x14ac:dyDescent="0.25">
      <c r="A850" s="3">
        <v>849</v>
      </c>
      <c r="B850" s="3" t="str">
        <f>HYPERLINK("https://www.kmpharma.in/product/35633","N-Nitroso Clonidine EP Impurity A")</f>
        <v>N-Nitroso Clonidine EP Impurity A</v>
      </c>
      <c r="C850" s="3" t="str">
        <f>HYPERLINK("https://www.kmpharma.in/product/35633","KMC003029")</f>
        <v>KMC003029</v>
      </c>
      <c r="D850" s="3" t="s">
        <v>7</v>
      </c>
      <c r="E850" s="5" t="s">
        <v>321</v>
      </c>
    </row>
    <row r="851" spans="1:5" x14ac:dyDescent="0.25">
      <c r="A851" s="6">
        <v>850</v>
      </c>
      <c r="B851" s="6" t="str">
        <f>HYPERLINK("https://www.kmpharma.in/product/8130","N-Nitroso Clonidine EP Impurity B")</f>
        <v>N-Nitroso Clonidine EP Impurity B</v>
      </c>
      <c r="C851" s="6" t="str">
        <f>HYPERLINK("https://www.kmpharma.in/product/8130","KMC003030")</f>
        <v>KMC003030</v>
      </c>
      <c r="D851" s="6" t="s">
        <v>7</v>
      </c>
      <c r="E851" s="7" t="s">
        <v>321</v>
      </c>
    </row>
    <row r="852" spans="1:5" x14ac:dyDescent="0.25">
      <c r="A852" s="3">
        <v>851</v>
      </c>
      <c r="B852" s="3" t="str">
        <f>HYPERLINK("https://www.kmpharma.in/product/8226","N-Nitroso Clopidogrel EP Impurity F")</f>
        <v>N-Nitroso Clopidogrel EP Impurity F</v>
      </c>
      <c r="C852" s="3" t="str">
        <f>HYPERLINK("https://www.kmpharma.in/product/8226","KMC204078")</f>
        <v>KMC204078</v>
      </c>
      <c r="D852" s="3" t="s">
        <v>7</v>
      </c>
      <c r="E852" s="5" t="s">
        <v>323</v>
      </c>
    </row>
    <row r="853" spans="1:5" x14ac:dyDescent="0.25">
      <c r="A853" s="6">
        <v>852</v>
      </c>
      <c r="B853" s="6" t="str">
        <f>HYPERLINK("https://www.kmpharma.in/product/8301","N-Nitroso Clozapine")</f>
        <v>N-Nitroso Clozapine</v>
      </c>
      <c r="C853" s="6" t="str">
        <f>HYPERLINK("https://www.kmpharma.in/product/8301","KMC017023")</f>
        <v>KMC017023</v>
      </c>
      <c r="D853" s="6" t="s">
        <v>110</v>
      </c>
      <c r="E853" s="7" t="s">
        <v>323</v>
      </c>
    </row>
    <row r="854" spans="1:5" x14ac:dyDescent="0.25">
      <c r="A854" s="3">
        <v>853</v>
      </c>
      <c r="B854" s="3" t="str">
        <f>HYPERLINK("https://www.kmpharma.in/product/8302","N-Nitroso Clozapine EP Impurity A")</f>
        <v>N-Nitroso Clozapine EP Impurity A</v>
      </c>
      <c r="C854" s="3" t="str">
        <f>HYPERLINK("https://www.kmpharma.in/product/8302","KMC017024")</f>
        <v>KMC017024</v>
      </c>
      <c r="D854" s="3" t="s">
        <v>7</v>
      </c>
      <c r="E854" s="5" t="s">
        <v>321</v>
      </c>
    </row>
    <row r="855" spans="1:5" x14ac:dyDescent="0.25">
      <c r="A855" s="6">
        <v>854</v>
      </c>
      <c r="B855" s="6" t="str">
        <f>HYPERLINK("https://www.kmpharma.in/product/8304","N-Nitroso Clozapine EP Impurity B (possibility 1)")</f>
        <v>N-Nitroso Clozapine EP Impurity B (possibility 1)</v>
      </c>
      <c r="C855" s="6" t="str">
        <f>HYPERLINK("https://www.kmpharma.in/product/8304","KMC017025")</f>
        <v>KMC017025</v>
      </c>
      <c r="D855" s="6" t="s">
        <v>7</v>
      </c>
      <c r="E855" s="7" t="s">
        <v>321</v>
      </c>
    </row>
    <row r="856" spans="1:5" x14ac:dyDescent="0.25">
      <c r="A856" s="3">
        <v>855</v>
      </c>
      <c r="B856" s="3" t="str">
        <f>HYPERLINK("https://www.kmpharma.in/product/8303","N-Nitroso Clozapine EP Impurity B (possibility 2)")</f>
        <v>N-Nitroso Clozapine EP Impurity B (possibility 2)</v>
      </c>
      <c r="C856" s="3" t="str">
        <f>HYPERLINK("https://www.kmpharma.in/product/8303","KMC017026")</f>
        <v>KMC017026</v>
      </c>
      <c r="D856" s="3" t="s">
        <v>7</v>
      </c>
      <c r="E856" s="5" t="s">
        <v>323</v>
      </c>
    </row>
    <row r="857" spans="1:5" x14ac:dyDescent="0.25">
      <c r="A857" s="6">
        <v>856</v>
      </c>
      <c r="B857" s="6" t="str">
        <f>HYPERLINK("https://www.kmpharma.in/product/8305","N-Nitroso Clozapine EP Impurity D")</f>
        <v>N-Nitroso Clozapine EP Impurity D</v>
      </c>
      <c r="C857" s="6" t="str">
        <f>HYPERLINK("https://www.kmpharma.in/product/8305","KMC017027")</f>
        <v>KMC017027</v>
      </c>
      <c r="D857" s="6" t="s">
        <v>7</v>
      </c>
      <c r="E857" s="7" t="s">
        <v>323</v>
      </c>
    </row>
    <row r="858" spans="1:5" x14ac:dyDescent="0.25">
      <c r="A858" s="3">
        <v>857</v>
      </c>
      <c r="B858" s="3" t="str">
        <f>HYPERLINK("https://www.kmpharma.in/product/8366","N-Nitroso Codeine EP Impurity H")</f>
        <v>N-Nitroso Codeine EP Impurity H</v>
      </c>
      <c r="C858" s="3" t="str">
        <f>HYPERLINK("https://www.kmpharma.in/product/8366","KMC216019")</f>
        <v>KMC216019</v>
      </c>
      <c r="D858" s="3" t="s">
        <v>111</v>
      </c>
      <c r="E858" s="5" t="s">
        <v>321</v>
      </c>
    </row>
    <row r="859" spans="1:5" x14ac:dyDescent="0.25">
      <c r="A859" s="6">
        <v>858</v>
      </c>
      <c r="B859" s="6" t="str">
        <f>HYPERLINK("https://www.kmpharma.in/product/8567","N-Nitroso Cyclamate")</f>
        <v>N-Nitroso Cyclamate</v>
      </c>
      <c r="C859" s="6" t="str">
        <f>HYPERLINK("https://www.kmpharma.in/product/8567","KMC240005")</f>
        <v>KMC240005</v>
      </c>
      <c r="D859" s="6" t="s">
        <v>112</v>
      </c>
      <c r="E859" s="7" t="s">
        <v>321</v>
      </c>
    </row>
    <row r="860" spans="1:5" x14ac:dyDescent="0.25">
      <c r="A860" s="3">
        <v>859</v>
      </c>
      <c r="B860" s="3" t="str">
        <f>HYPERLINK("https://www.kmpharma.in/product/8586","N-Nitroso Cyclobenzaprine USP Related Compound B")</f>
        <v>N-Nitroso Cyclobenzaprine USP Related Compound B</v>
      </c>
      <c r="C860" s="3" t="str">
        <f>HYPERLINK("https://www.kmpharma.in/product/8586","KMC243014")</f>
        <v>KMC243014</v>
      </c>
      <c r="D860" s="3" t="s">
        <v>7</v>
      </c>
      <c r="E860" s="5" t="s">
        <v>321</v>
      </c>
    </row>
    <row r="861" spans="1:5" x14ac:dyDescent="0.25">
      <c r="A861" s="6">
        <v>860</v>
      </c>
      <c r="B861" s="6" t="str">
        <f>HYPERLINK("https://www.kmpharma.in/product/8644","N-Nitroso Cyclophosphamide (hydrate)")</f>
        <v>N-Nitroso Cyclophosphamide (hydrate)</v>
      </c>
      <c r="C861" s="6" t="str">
        <f>HYPERLINK("https://www.kmpharma.in/product/8644","KMC020051")</f>
        <v>KMC020051</v>
      </c>
      <c r="D861" s="6" t="s">
        <v>7</v>
      </c>
      <c r="E861" s="7" t="s">
        <v>321</v>
      </c>
    </row>
    <row r="862" spans="1:5" x14ac:dyDescent="0.25">
      <c r="A862" s="3">
        <v>861</v>
      </c>
      <c r="B862" s="3" t="str">
        <f>HYPERLINK("https://www.kmpharma.in/product/243","N-Nitroso Cyclophosphamide EP Impurity D")</f>
        <v>N-Nitroso Cyclophosphamide EP Impurity D</v>
      </c>
      <c r="C862" s="3" t="str">
        <f>HYPERLINK("https://www.kmpharma.in/product/243","KMC020001")</f>
        <v>KMC020001</v>
      </c>
      <c r="D862" s="3" t="s">
        <v>35</v>
      </c>
      <c r="E862" s="5" t="s">
        <v>321</v>
      </c>
    </row>
    <row r="863" spans="1:5" x14ac:dyDescent="0.25">
      <c r="A863" s="6">
        <v>862</v>
      </c>
      <c r="B863" s="6" t="str">
        <f>HYPERLINK("https://www.kmpharma.in/product/8645","N-Nitroso Cyclophosphamide USP Related compound B")</f>
        <v>N-Nitroso Cyclophosphamide USP Related compound B</v>
      </c>
      <c r="C863" s="6" t="str">
        <f>HYPERLINK("https://www.kmpharma.in/product/8645","KMC020052")</f>
        <v>KMC020052</v>
      </c>
      <c r="D863" s="6" t="s">
        <v>7</v>
      </c>
      <c r="E863" s="7" t="s">
        <v>321</v>
      </c>
    </row>
    <row r="864" spans="1:5" x14ac:dyDescent="0.25">
      <c r="A864" s="3">
        <v>863</v>
      </c>
      <c r="B864" s="3" t="str">
        <f>HYPERLINK("https://www.kmpharma.in/product/8640","N-Nitroso Cyclophosphamide USP Related compound D (Possibility 1)")</f>
        <v>N-Nitroso Cyclophosphamide USP Related compound D (Possibility 1)</v>
      </c>
      <c r="C864" s="3" t="str">
        <f>HYPERLINK("https://www.kmpharma.in/product/8640","KMC020053")</f>
        <v>KMC020053</v>
      </c>
      <c r="D864" s="3" t="s">
        <v>7</v>
      </c>
      <c r="E864" s="5" t="s">
        <v>321</v>
      </c>
    </row>
    <row r="865" spans="1:5" x14ac:dyDescent="0.25">
      <c r="A865" s="6">
        <v>864</v>
      </c>
      <c r="B865" s="6" t="str">
        <f>HYPERLINK("https://www.kmpharma.in/product/8643","N-Nitroso Cyclophosphamide USP Related compound D (Possibility 2)")</f>
        <v>N-Nitroso Cyclophosphamide USP Related compound D (Possibility 2)</v>
      </c>
      <c r="C865" s="6" t="str">
        <f>HYPERLINK("https://www.kmpharma.in/product/8643","KMC020054")</f>
        <v>KMC020054</v>
      </c>
      <c r="D865" s="6" t="s">
        <v>7</v>
      </c>
      <c r="E865" s="7" t="s">
        <v>321</v>
      </c>
    </row>
    <row r="866" spans="1:5" x14ac:dyDescent="0.25">
      <c r="A866" s="3">
        <v>865</v>
      </c>
      <c r="B866" s="3" t="str">
        <f>HYPERLINK("https://www.kmpharma.in/product/8655","N-Nitroso Cycloserine")</f>
        <v>N-Nitroso Cycloserine</v>
      </c>
      <c r="C866" s="3" t="str">
        <f>HYPERLINK("https://www.kmpharma.in/product/8655","KMC245010")</f>
        <v>KMC245010</v>
      </c>
      <c r="D866" s="3" t="s">
        <v>7</v>
      </c>
      <c r="E866" s="5" t="s">
        <v>321</v>
      </c>
    </row>
    <row r="867" spans="1:5" x14ac:dyDescent="0.25">
      <c r="A867" s="6">
        <v>866</v>
      </c>
      <c r="B867" s="6" t="str">
        <f>HYPERLINK("https://www.kmpharma.in/product/8751","N-Nitroso Cytisine")</f>
        <v>N-Nitroso Cytisine</v>
      </c>
      <c r="C867" s="6" t="str">
        <f>HYPERLINK("https://www.kmpharma.in/product/8751","KMC256004")</f>
        <v>KMC256004</v>
      </c>
      <c r="D867" s="6" t="s">
        <v>113</v>
      </c>
      <c r="E867" s="7" t="s">
        <v>321</v>
      </c>
    </row>
    <row r="868" spans="1:5" x14ac:dyDescent="0.25">
      <c r="A868" s="3">
        <v>867</v>
      </c>
      <c r="B868" s="3" t="str">
        <f>HYPERLINK("https://www.kmpharma.in/product/985","N-Nitroso D-Adrenaline")</f>
        <v>N-Nitroso D-Adrenaline</v>
      </c>
      <c r="C868" s="3" t="str">
        <f>HYPERLINK("https://www.kmpharma.in/product/985","KMA069018")</f>
        <v>KMA069018</v>
      </c>
      <c r="D868" s="3" t="s">
        <v>7</v>
      </c>
      <c r="E868" s="5" t="s">
        <v>321</v>
      </c>
    </row>
    <row r="869" spans="1:5" x14ac:dyDescent="0.25">
      <c r="A869" s="6">
        <v>868</v>
      </c>
      <c r="B869" s="6" t="str">
        <f>HYPERLINK("https://www.kmpharma.in/product/34762","N-Nitroso D-Tryptophan")</f>
        <v>N-Nitroso D-Tryptophan</v>
      </c>
      <c r="C869" s="6" t="str">
        <f>HYPERLINK("https://www.kmpharma.in/product/34762","KMT203009")</f>
        <v>KMT203009</v>
      </c>
      <c r="D869" s="6" t="s">
        <v>7</v>
      </c>
      <c r="E869" s="7" t="s">
        <v>321</v>
      </c>
    </row>
    <row r="870" spans="1:5" x14ac:dyDescent="0.25">
      <c r="A870" s="3">
        <v>869</v>
      </c>
      <c r="B870" s="3" t="str">
        <f>HYPERLINK("https://www.kmpharma.in/product/35764","N-Nitroso Dabigatran Amide Impurity")</f>
        <v>N-Nitroso Dabigatran Amide Impurity</v>
      </c>
      <c r="C870" s="3" t="str">
        <f>HYPERLINK("https://www.kmpharma.in/product/35764","KMD029152")</f>
        <v>KMD029152</v>
      </c>
      <c r="D870" s="3" t="s">
        <v>7</v>
      </c>
      <c r="E870" s="5" t="s">
        <v>321</v>
      </c>
    </row>
    <row r="871" spans="1:5" x14ac:dyDescent="0.25">
      <c r="A871" s="6">
        <v>870</v>
      </c>
      <c r="B871" s="6" t="str">
        <f>HYPERLINK("https://www.kmpharma.in/product/35784","N-Nitroso Dabigatran Etexilate")</f>
        <v>N-Nitroso Dabigatran Etexilate</v>
      </c>
      <c r="C871" s="6" t="str">
        <f>HYPERLINK("https://www.kmpharma.in/product/35784","KMD029153")</f>
        <v>KMD029153</v>
      </c>
      <c r="D871" s="6" t="s">
        <v>114</v>
      </c>
      <c r="E871" s="7" t="s">
        <v>321</v>
      </c>
    </row>
    <row r="872" spans="1:5" x14ac:dyDescent="0.25">
      <c r="A872" s="3">
        <v>871</v>
      </c>
      <c r="B872" s="3" t="str">
        <f>HYPERLINK("https://www.kmpharma.in/product/35773","N-Nitroso Dabigatran Etexilate-D4")</f>
        <v>N-Nitroso Dabigatran Etexilate-D4</v>
      </c>
      <c r="C872" s="3" t="str">
        <f>HYPERLINK("https://www.kmpharma.in/product/35773","KMD029154")</f>
        <v>KMD029154</v>
      </c>
      <c r="D872" s="3" t="s">
        <v>7</v>
      </c>
      <c r="E872" s="3" t="s">
        <v>16</v>
      </c>
    </row>
    <row r="873" spans="1:5" x14ac:dyDescent="0.25">
      <c r="A873" s="6">
        <v>872</v>
      </c>
      <c r="B873" s="6" t="str">
        <f>HYPERLINK("https://www.kmpharma.in/product/8876","N-Nitroso Dalbavancin")</f>
        <v>N-Nitroso Dalbavancin</v>
      </c>
      <c r="C873" s="6" t="str">
        <f>HYPERLINK("https://www.kmpharma.in/product/8876","KMD037015")</f>
        <v>KMD037015</v>
      </c>
      <c r="D873" s="6" t="s">
        <v>7</v>
      </c>
      <c r="E873" s="6" t="s">
        <v>16</v>
      </c>
    </row>
    <row r="874" spans="1:5" x14ac:dyDescent="0.25">
      <c r="A874" s="3">
        <v>873</v>
      </c>
      <c r="B874" s="3" t="str">
        <f>HYPERLINK("https://www.kmpharma.in/product/9007","N-Nitroso Daptomycin")</f>
        <v>N-Nitroso Daptomycin</v>
      </c>
      <c r="C874" s="3" t="str">
        <f>HYPERLINK("https://www.kmpharma.in/product/9007","KMD045028")</f>
        <v>KMD045028</v>
      </c>
      <c r="D874" s="3" t="s">
        <v>7</v>
      </c>
      <c r="E874" s="5" t="s">
        <v>321</v>
      </c>
    </row>
    <row r="875" spans="1:5" x14ac:dyDescent="0.25">
      <c r="A875" s="6">
        <v>874</v>
      </c>
      <c r="B875" s="6" t="str">
        <f>HYPERLINK("https://www.kmpharma.in/product/9083","N-Nitroso Darolutamide Pyrazol benzonitrile Impurity")</f>
        <v>N-Nitroso Darolutamide Pyrazol benzonitrile Impurity</v>
      </c>
      <c r="C875" s="6" t="str">
        <f>HYPERLINK("https://www.kmpharma.in/product/9083","KMD047013")</f>
        <v>KMD047013</v>
      </c>
      <c r="D875" s="6" t="s">
        <v>7</v>
      </c>
      <c r="E875" s="7" t="s">
        <v>321</v>
      </c>
    </row>
    <row r="876" spans="1:5" x14ac:dyDescent="0.25">
      <c r="A876" s="3">
        <v>875</v>
      </c>
      <c r="B876" s="3" t="str">
        <f>HYPERLINK("https://www.kmpharma.in/product/9246","N-Nitroso Dasatinib Impurity 1")</f>
        <v>N-Nitroso Dasatinib Impurity 1</v>
      </c>
      <c r="C876" s="3" t="str">
        <f>HYPERLINK("https://www.kmpharma.in/product/9246","KMD048077")</f>
        <v>KMD048077</v>
      </c>
      <c r="D876" s="3" t="s">
        <v>7</v>
      </c>
      <c r="E876" s="3" t="s">
        <v>16</v>
      </c>
    </row>
    <row r="877" spans="1:5" x14ac:dyDescent="0.25">
      <c r="A877" s="6">
        <v>876</v>
      </c>
      <c r="B877" s="6" t="str">
        <f>HYPERLINK("https://www.kmpharma.in/product/36676","N-Nitroso De-Alkylated Ivacaftor")</f>
        <v>N-Nitroso De-Alkylated Ivacaftor</v>
      </c>
      <c r="C877" s="6" t="str">
        <f>HYPERLINK("https://www.kmpharma.in/product/36676","KMI006040")</f>
        <v>KMI006040</v>
      </c>
      <c r="D877" s="6" t="s">
        <v>7</v>
      </c>
      <c r="E877" s="7" t="s">
        <v>323</v>
      </c>
    </row>
    <row r="878" spans="1:5" x14ac:dyDescent="0.25">
      <c r="A878" s="3">
        <v>877</v>
      </c>
      <c r="B878" s="3" t="str">
        <f>HYPERLINK("https://www.kmpharma.in/product/109","N-Nitroso Decyl Aminoquat")</f>
        <v>N-Nitroso Decyl Aminoquat</v>
      </c>
      <c r="C878" s="3" t="str">
        <f>HYPERLINK("https://www.kmpharma.in/product/109","KMC002001")</f>
        <v>KMC002001</v>
      </c>
      <c r="D878" s="3" t="s">
        <v>35</v>
      </c>
      <c r="E878" s="3" t="s">
        <v>16</v>
      </c>
    </row>
    <row r="879" spans="1:5" x14ac:dyDescent="0.25">
      <c r="A879" s="6">
        <v>878</v>
      </c>
      <c r="B879" s="6" t="str">
        <f>HYPERLINK("https://www.kmpharma.in/product/35637","N-Nitroso Decyl Aminoquat")</f>
        <v>N-Nitroso Decyl Aminoquat</v>
      </c>
      <c r="C879" s="6" t="str">
        <f>HYPERLINK("https://www.kmpharma.in/product/35637","KMC002021")</f>
        <v>KMC002021</v>
      </c>
      <c r="D879" s="6" t="s">
        <v>7</v>
      </c>
      <c r="E879" s="7" t="s">
        <v>325</v>
      </c>
    </row>
    <row r="880" spans="1:5" x14ac:dyDescent="0.25">
      <c r="A880" s="3">
        <v>879</v>
      </c>
      <c r="B880" s="3" t="str">
        <f>HYPERLINK("https://www.kmpharma.in/product/9376","N-Nitroso Deferasirox EP Impurity F")</f>
        <v>N-Nitroso Deferasirox EP Impurity F</v>
      </c>
      <c r="C880" s="3" t="str">
        <f>HYPERLINK("https://www.kmpharma.in/product/9376","KMD004039")</f>
        <v>KMD004039</v>
      </c>
      <c r="D880" s="3" t="s">
        <v>7</v>
      </c>
      <c r="E880" s="3" t="s">
        <v>16</v>
      </c>
    </row>
    <row r="881" spans="1:5" x14ac:dyDescent="0.25">
      <c r="A881" s="6">
        <v>880</v>
      </c>
      <c r="B881" s="6" t="str">
        <f>HYPERLINK("https://www.kmpharma.in/product/9427","N-Nitroso Degarelix")</f>
        <v>N-Nitroso Degarelix</v>
      </c>
      <c r="C881" s="6" t="str">
        <f>HYPERLINK("https://www.kmpharma.in/product/9427","KMD054004")</f>
        <v>KMD054004</v>
      </c>
      <c r="D881" s="6" t="s">
        <v>7</v>
      </c>
      <c r="E881" s="7" t="s">
        <v>322</v>
      </c>
    </row>
    <row r="882" spans="1:5" x14ac:dyDescent="0.25">
      <c r="A882" s="3">
        <v>881</v>
      </c>
      <c r="B882" s="3" t="str">
        <f>HYPERLINK("https://www.kmpharma.in/product/195","N-Nitroso Dehydro Silodosin")</f>
        <v>N-Nitroso Dehydro Silodosin</v>
      </c>
      <c r="C882" s="3" t="str">
        <f>HYPERLINK("https://www.kmpharma.in/product/195","KMS004002")</f>
        <v>KMS004002</v>
      </c>
      <c r="D882" s="3" t="s">
        <v>35</v>
      </c>
      <c r="E882" s="3" t="s">
        <v>16</v>
      </c>
    </row>
    <row r="883" spans="1:5" x14ac:dyDescent="0.25">
      <c r="A883" s="6">
        <v>882</v>
      </c>
      <c r="B883" s="6" t="str">
        <f>HYPERLINK("https://www.kmpharma.in/product/34840","N-Nitroso Dehydro Silodosin")</f>
        <v>N-Nitroso Dehydro Silodosin</v>
      </c>
      <c r="C883" s="6" t="str">
        <f>HYPERLINK("https://www.kmpharma.in/product/34840","KMS004008")</f>
        <v>KMS004008</v>
      </c>
      <c r="D883" s="6" t="s">
        <v>7</v>
      </c>
      <c r="E883" s="6" t="s">
        <v>16</v>
      </c>
    </row>
    <row r="884" spans="1:5" x14ac:dyDescent="0.25">
      <c r="A884" s="3">
        <v>883</v>
      </c>
      <c r="B884" s="3" t="str">
        <f>HYPERLINK("https://www.kmpharma.in/product/8036","N-Nitroso Des-ethyl Clomiphene")</f>
        <v>N-Nitroso Des-ethyl Clomiphene</v>
      </c>
      <c r="C884" s="3" t="str">
        <f>HYPERLINK("https://www.kmpharma.in/product/8036","KMC034039")</f>
        <v>KMC034039</v>
      </c>
      <c r="D884" s="3" t="s">
        <v>7</v>
      </c>
      <c r="E884" s="3" t="s">
        <v>16</v>
      </c>
    </row>
    <row r="885" spans="1:5" x14ac:dyDescent="0.25">
      <c r="A885" s="6">
        <v>884</v>
      </c>
      <c r="B885" s="6" t="str">
        <f>HYPERLINK("https://www.kmpharma.in/product/11021","N-Nitroso Desalkyl Ebastine")</f>
        <v>N-Nitroso Desalkyl Ebastine</v>
      </c>
      <c r="C885" s="6" t="str">
        <f>HYPERLINK("https://www.kmpharma.in/product/11021","KME022015")</f>
        <v>KME022015</v>
      </c>
      <c r="D885" s="6" t="s">
        <v>7</v>
      </c>
      <c r="E885" s="7" t="s">
        <v>323</v>
      </c>
    </row>
    <row r="886" spans="1:5" x14ac:dyDescent="0.25">
      <c r="A886" s="3">
        <v>885</v>
      </c>
      <c r="B886" s="3" t="str">
        <f>HYPERLINK("https://www.kmpharma.in/product/19540","N-Nitroso Desbutyl Lumefantrine")</f>
        <v>N-Nitroso Desbutyl Lumefantrine</v>
      </c>
      <c r="C886" s="3" t="str">
        <f>HYPERLINK("https://www.kmpharma.in/product/19540","KML109029")</f>
        <v>KML109029</v>
      </c>
      <c r="D886" s="3" t="s">
        <v>7</v>
      </c>
      <c r="E886" s="5" t="s">
        <v>323</v>
      </c>
    </row>
    <row r="887" spans="1:5" x14ac:dyDescent="0.25">
      <c r="A887" s="6">
        <v>886</v>
      </c>
      <c r="B887" s="6" t="str">
        <f>HYPERLINK("https://www.kmpharma.in/product/364","N-Nitroso Desethyl Amiodarone")</f>
        <v>N-Nitroso Desethyl Amiodarone</v>
      </c>
      <c r="C887" s="6" t="str">
        <f>HYPERLINK("https://www.kmpharma.in/product/364","KMA009001")</f>
        <v>KMA009001</v>
      </c>
      <c r="D887" s="6" t="s">
        <v>89</v>
      </c>
      <c r="E887" s="6" t="s">
        <v>16</v>
      </c>
    </row>
    <row r="888" spans="1:5" x14ac:dyDescent="0.25">
      <c r="A888" s="3">
        <v>887</v>
      </c>
      <c r="B888" s="3" t="str">
        <f>HYPERLINK("https://www.kmpharma.in/product/9955","N-Nitroso Desethyl Dicycloverine")</f>
        <v>N-Nitroso Desethyl Dicycloverine</v>
      </c>
      <c r="C888" s="3" t="str">
        <f>HYPERLINK("https://www.kmpharma.in/product/9955","KMD095016")</f>
        <v>KMD095016</v>
      </c>
      <c r="D888" s="3" t="s">
        <v>7</v>
      </c>
      <c r="E888" s="3" t="s">
        <v>16</v>
      </c>
    </row>
    <row r="889" spans="1:5" x14ac:dyDescent="0.25">
      <c r="A889" s="6">
        <v>888</v>
      </c>
      <c r="B889" s="6" t="str">
        <f>HYPERLINK("https://www.kmpharma.in/product/22125","N-Nitroso Desfluoro Nebivolol")</f>
        <v>N-Nitroso Desfluoro Nebivolol</v>
      </c>
      <c r="C889" s="6" t="str">
        <f>HYPERLINK("https://www.kmpharma.in/product/22125","KMN007011")</f>
        <v>KMN007011</v>
      </c>
      <c r="D889" s="6" t="s">
        <v>7</v>
      </c>
      <c r="E889" s="6" t="s">
        <v>16</v>
      </c>
    </row>
    <row r="890" spans="1:5" x14ac:dyDescent="0.25">
      <c r="A890" s="3">
        <v>889</v>
      </c>
      <c r="B890" s="3" t="str">
        <f>HYPERLINK("https://www.kmpharma.in/product/14465","N-Nitroso Desformyl Arformoterol")</f>
        <v>N-Nitroso Desformyl Arformoterol</v>
      </c>
      <c r="C890" s="3" t="str">
        <f>HYPERLINK("https://www.kmpharma.in/product/14465","KMF104075")</f>
        <v>KMF104075</v>
      </c>
      <c r="D890" s="3" t="s">
        <v>7</v>
      </c>
      <c r="E890" s="5" t="s">
        <v>323</v>
      </c>
    </row>
    <row r="891" spans="1:5" x14ac:dyDescent="0.25">
      <c r="A891" s="6">
        <v>890</v>
      </c>
      <c r="B891" s="6" t="str">
        <f>HYPERLINK("https://www.kmpharma.in/product/9498","N-Nitroso Desipramine")</f>
        <v>N-Nitroso Desipramine</v>
      </c>
      <c r="C891" s="6" t="str">
        <f>HYPERLINK("https://www.kmpharma.in/product/9498","KMD005015")</f>
        <v>KMD005015</v>
      </c>
      <c r="D891" s="6" t="s">
        <v>115</v>
      </c>
      <c r="E891" s="6" t="s">
        <v>16</v>
      </c>
    </row>
    <row r="892" spans="1:5" x14ac:dyDescent="0.25">
      <c r="A892" s="3">
        <v>891</v>
      </c>
      <c r="B892" s="3" t="str">
        <f>HYPERLINK("https://www.kmpharma.in/product/9537","N-Nitroso Desloratadine")</f>
        <v>N-Nitroso Desloratadine</v>
      </c>
      <c r="C892" s="3" t="str">
        <f>HYPERLINK("https://www.kmpharma.in/product/9537","KMD064038")</f>
        <v>KMD064038</v>
      </c>
      <c r="D892" s="3" t="s">
        <v>116</v>
      </c>
      <c r="E892" s="3" t="s">
        <v>16</v>
      </c>
    </row>
    <row r="893" spans="1:5" x14ac:dyDescent="0.25">
      <c r="A893" s="6">
        <v>892</v>
      </c>
      <c r="B893" s="6" t="str">
        <f>HYPERLINK("https://www.kmpharma.in/product/9536","N-Nitroso Desloratadine-D4")</f>
        <v>N-Nitroso Desloratadine-D4</v>
      </c>
      <c r="C893" s="6" t="str">
        <f>HYPERLINK("https://www.kmpharma.in/product/9536","KMD064039")</f>
        <v>KMD064039</v>
      </c>
      <c r="D893" s="6" t="s">
        <v>117</v>
      </c>
      <c r="E893" s="6" t="s">
        <v>16</v>
      </c>
    </row>
    <row r="894" spans="1:5" x14ac:dyDescent="0.25">
      <c r="A894" s="3">
        <v>893</v>
      </c>
      <c r="B894" s="3" t="str">
        <f>HYPERLINK("https://www.kmpharma.in/product/12337","N-Nitroso Desmethoxy Esomeprazole")</f>
        <v>N-Nitroso Desmethoxy Esomeprazole</v>
      </c>
      <c r="C894" s="3" t="str">
        <f>HYPERLINK("https://www.kmpharma.in/product/12337","KME013044")</f>
        <v>KME013044</v>
      </c>
      <c r="D894" s="3" t="s">
        <v>7</v>
      </c>
      <c r="E894" s="3" t="s">
        <v>16</v>
      </c>
    </row>
    <row r="895" spans="1:5" x14ac:dyDescent="0.25">
      <c r="A895" s="6">
        <v>894</v>
      </c>
      <c r="B895" s="6" t="str">
        <f>HYPERLINK("https://www.kmpharma.in/product/10689","N-Nitroso Desmethyl (Trans-Doxepin)")</f>
        <v>N-Nitroso Desmethyl (Trans-Doxepin)</v>
      </c>
      <c r="C895" s="6" t="str">
        <f>HYPERLINK("https://www.kmpharma.in/product/10689","KMD010023")</f>
        <v>KMD010023</v>
      </c>
      <c r="D895" s="6" t="s">
        <v>7</v>
      </c>
      <c r="E895" s="7" t="s">
        <v>323</v>
      </c>
    </row>
    <row r="896" spans="1:5" x14ac:dyDescent="0.25">
      <c r="A896" s="3">
        <v>895</v>
      </c>
      <c r="B896" s="3" t="str">
        <f>HYPERLINK("https://www.kmpharma.in/product/1260","N-Nitroso Desmethyl Alfuzosin")</f>
        <v>N-Nitroso Desmethyl Alfuzosin</v>
      </c>
      <c r="C896" s="3" t="str">
        <f>HYPERLINK("https://www.kmpharma.in/product/1260","KMA089018")</f>
        <v>KMA089018</v>
      </c>
      <c r="D896" s="3" t="s">
        <v>7</v>
      </c>
      <c r="E896" s="5" t="s">
        <v>323</v>
      </c>
    </row>
    <row r="897" spans="1:5" x14ac:dyDescent="0.25">
      <c r="A897" s="6">
        <v>896</v>
      </c>
      <c r="B897" s="6" t="str">
        <f>HYPERLINK("https://www.kmpharma.in/product/14466","N-Nitroso Desmethyl Arformoterol")</f>
        <v>N-Nitroso Desmethyl Arformoterol</v>
      </c>
      <c r="C897" s="6" t="str">
        <f>HYPERLINK("https://www.kmpharma.in/product/14466","KMF104076")</f>
        <v>KMF104076</v>
      </c>
      <c r="D897" s="6" t="s">
        <v>7</v>
      </c>
      <c r="E897" s="6" t="s">
        <v>16</v>
      </c>
    </row>
    <row r="898" spans="1:5" x14ac:dyDescent="0.25">
      <c r="A898" s="3">
        <v>897</v>
      </c>
      <c r="B898" s="3" t="str">
        <f>HYPERLINK("https://www.kmpharma.in/product/214","N-Nitroso Desmethyl Azelastine")</f>
        <v>N-Nitroso Desmethyl Azelastine</v>
      </c>
      <c r="C898" s="3" t="str">
        <f>HYPERLINK("https://www.kmpharma.in/product/214","KMA032001")</f>
        <v>KMA032001</v>
      </c>
      <c r="D898" s="3" t="s">
        <v>35</v>
      </c>
      <c r="E898" s="3" t="s">
        <v>16</v>
      </c>
    </row>
    <row r="899" spans="1:5" x14ac:dyDescent="0.25">
      <c r="A899" s="6">
        <v>898</v>
      </c>
      <c r="B899" s="6" t="str">
        <f>HYPERLINK("https://www.kmpharma.in/product/35291","N-Nitroso Desmethyl Azelastine")</f>
        <v>N-Nitroso Desmethyl Azelastine</v>
      </c>
      <c r="C899" s="6" t="str">
        <f>HYPERLINK("https://www.kmpharma.in/product/35291","KMA032028")</f>
        <v>KMA032028</v>
      </c>
      <c r="D899" s="6" t="s">
        <v>7</v>
      </c>
      <c r="E899" s="7" t="s">
        <v>324</v>
      </c>
    </row>
    <row r="900" spans="1:5" x14ac:dyDescent="0.25">
      <c r="A900" s="3">
        <v>899</v>
      </c>
      <c r="B900" s="3" t="str">
        <f>HYPERLINK("https://www.kmpharma.in/product/3774","N-Nitroso Desmethyl Bedaquiline")</f>
        <v>N-Nitroso Desmethyl Bedaquiline</v>
      </c>
      <c r="C900" s="3" t="str">
        <f>HYPERLINK("https://www.kmpharma.in/product/3774","KMB031021")</f>
        <v>KMB031021</v>
      </c>
      <c r="D900" s="3" t="s">
        <v>7</v>
      </c>
      <c r="E900" s="3" t="s">
        <v>16</v>
      </c>
    </row>
    <row r="901" spans="1:5" x14ac:dyDescent="0.25">
      <c r="A901" s="6">
        <v>900</v>
      </c>
      <c r="B901" s="6" t="str">
        <f>HYPERLINK("https://www.kmpharma.in/product/3935","N-Nitroso Desmethyl Benzatropine")</f>
        <v>N-Nitroso Desmethyl Benzatropine</v>
      </c>
      <c r="C901" s="6" t="str">
        <f>HYPERLINK("https://www.kmpharma.in/product/3935","KMB044004")</f>
        <v>KMB044004</v>
      </c>
      <c r="D901" s="6" t="s">
        <v>7</v>
      </c>
      <c r="E901" s="7" t="s">
        <v>321</v>
      </c>
    </row>
    <row r="902" spans="1:5" x14ac:dyDescent="0.25">
      <c r="A902" s="3">
        <v>901</v>
      </c>
      <c r="B902" s="3" t="str">
        <f>HYPERLINK("https://www.kmpharma.in/product/5093","N-Nitroso Desmethyl Brompheniramine")</f>
        <v>N-Nitroso Desmethyl Brompheniramine</v>
      </c>
      <c r="C902" s="3" t="str">
        <f>HYPERLINK("https://www.kmpharma.in/product/5093","KMB108009")</f>
        <v>KMB108009</v>
      </c>
      <c r="D902" s="3" t="s">
        <v>7</v>
      </c>
      <c r="E902" s="3" t="s">
        <v>16</v>
      </c>
    </row>
    <row r="903" spans="1:5" x14ac:dyDescent="0.25">
      <c r="A903" s="6">
        <v>902</v>
      </c>
      <c r="B903" s="6" t="str">
        <f>HYPERLINK("https://www.kmpharma.in/product/395","N-Nitroso Desmethyl Carbinoxamine")</f>
        <v>N-Nitroso Desmethyl Carbinoxamine</v>
      </c>
      <c r="C903" s="6" t="str">
        <f>HYPERLINK("https://www.kmpharma.in/product/395","KMC030002")</f>
        <v>KMC030002</v>
      </c>
      <c r="D903" s="6" t="s">
        <v>35</v>
      </c>
      <c r="E903" s="6" t="s">
        <v>16</v>
      </c>
    </row>
    <row r="904" spans="1:5" x14ac:dyDescent="0.25">
      <c r="A904" s="3">
        <v>903</v>
      </c>
      <c r="B904" s="3" t="str">
        <f>HYPERLINK("https://www.kmpharma.in/product/35569","N-Nitroso Desmethyl Carbinoxamine")</f>
        <v>N-Nitroso Desmethyl Carbinoxamine</v>
      </c>
      <c r="C904" s="3" t="str">
        <f>HYPERLINK("https://www.kmpharma.in/product/35569","KMC030013")</f>
        <v>KMC030013</v>
      </c>
      <c r="D904" s="3" t="s">
        <v>7</v>
      </c>
      <c r="E904" s="3" t="s">
        <v>16</v>
      </c>
    </row>
    <row r="905" spans="1:5" x14ac:dyDescent="0.25">
      <c r="A905" s="6">
        <v>904</v>
      </c>
      <c r="B905" s="6" t="str">
        <f>HYPERLINK("https://www.kmpharma.in/product/7180","N-Nitroso Desmethyl Chlorpromazine Impurity")</f>
        <v>N-Nitroso Desmethyl Chlorpromazine Impurity</v>
      </c>
      <c r="C905" s="6" t="str">
        <f>HYPERLINK("https://www.kmpharma.in/product/7180","KMC013027")</f>
        <v>KMC013027</v>
      </c>
      <c r="D905" s="6" t="s">
        <v>118</v>
      </c>
      <c r="E905" s="6" t="s">
        <v>16</v>
      </c>
    </row>
    <row r="906" spans="1:5" x14ac:dyDescent="0.25">
      <c r="A906" s="3">
        <v>905</v>
      </c>
      <c r="B906" s="3" t="str">
        <f>HYPERLINK("https://www.kmpharma.in/product/10690","N-Nitroso Desmethyl Cis-Doxepin")</f>
        <v>N-Nitroso Desmethyl Cis-Doxepin</v>
      </c>
      <c r="C906" s="3" t="str">
        <f>HYPERLINK("https://www.kmpharma.in/product/10690","KMD010024")</f>
        <v>KMD010024</v>
      </c>
      <c r="D906" s="3" t="s">
        <v>7</v>
      </c>
      <c r="E906" s="5" t="s">
        <v>323</v>
      </c>
    </row>
    <row r="907" spans="1:5" x14ac:dyDescent="0.25">
      <c r="A907" s="6">
        <v>906</v>
      </c>
      <c r="B907" s="6" t="str">
        <f>HYPERLINK("https://www.kmpharma.in/product/8001","N-Nitroso Desmethyl Clofedanol")</f>
        <v>N-Nitroso Desmethyl Clofedanol</v>
      </c>
      <c r="C907" s="6" t="str">
        <f>HYPERLINK("https://www.kmpharma.in/product/8001","KMC201002")</f>
        <v>KMC201002</v>
      </c>
      <c r="D907" s="6" t="s">
        <v>7</v>
      </c>
      <c r="E907" s="7" t="s">
        <v>323</v>
      </c>
    </row>
    <row r="908" spans="1:5" x14ac:dyDescent="0.25">
      <c r="A908" s="3">
        <v>907</v>
      </c>
      <c r="B908" s="3" t="str">
        <f>HYPERLINK("https://www.kmpharma.in/product/8069","N-Nitroso Desmethyl Clomipramine")</f>
        <v>N-Nitroso Desmethyl Clomipramine</v>
      </c>
      <c r="C908" s="3" t="str">
        <f>HYPERLINK("https://www.kmpharma.in/product/8069","KMC015056")</f>
        <v>KMC015056</v>
      </c>
      <c r="D908" s="3" t="s">
        <v>7</v>
      </c>
      <c r="E908" s="3" t="s">
        <v>16</v>
      </c>
    </row>
    <row r="909" spans="1:5" x14ac:dyDescent="0.25">
      <c r="A909" s="6">
        <v>908</v>
      </c>
      <c r="B909" s="6" t="str">
        <f>HYPERLINK("https://www.kmpharma.in/product/9614","N-Nitroso Desmethyl Desvenlafaxine")</f>
        <v>N-Nitroso Desmethyl Desvenlafaxine</v>
      </c>
      <c r="C909" s="6" t="str">
        <f>HYPERLINK("https://www.kmpharma.in/product/9614","KMD002015")</f>
        <v>KMD002015</v>
      </c>
      <c r="D909" s="6" t="s">
        <v>119</v>
      </c>
      <c r="E909" s="6" t="s">
        <v>16</v>
      </c>
    </row>
    <row r="910" spans="1:5" x14ac:dyDescent="0.25">
      <c r="A910" s="3">
        <v>909</v>
      </c>
      <c r="B910" s="3" t="str">
        <f>HYPERLINK("https://www.kmpharma.in/product/9752","N-Nitroso Desmethyl Dexbrompheniramine")</f>
        <v>N-Nitroso Desmethyl Dexbrompheniramine</v>
      </c>
      <c r="C910" s="3" t="str">
        <f>HYPERLINK("https://www.kmpharma.in/product/9752","KMD077002")</f>
        <v>KMD077002</v>
      </c>
      <c r="D910" s="3" t="s">
        <v>7</v>
      </c>
      <c r="E910" s="3" t="s">
        <v>16</v>
      </c>
    </row>
    <row r="911" spans="1:5" x14ac:dyDescent="0.25">
      <c r="A911" s="6">
        <v>910</v>
      </c>
      <c r="B911" s="6" t="str">
        <f>HYPERLINK("https://www.kmpharma.in/product/231","N-Nitroso Desmethyl Dextromethorphan")</f>
        <v>N-Nitroso Desmethyl Dextromethorphan</v>
      </c>
      <c r="C911" s="6" t="str">
        <f>HYPERLINK("https://www.kmpharma.in/product/231","KMD001002")</f>
        <v>KMD001002</v>
      </c>
      <c r="D911" s="6" t="s">
        <v>35</v>
      </c>
      <c r="E911" s="6" t="s">
        <v>16</v>
      </c>
    </row>
    <row r="912" spans="1:5" x14ac:dyDescent="0.25">
      <c r="A912" s="3">
        <v>911</v>
      </c>
      <c r="B912" s="3" t="str">
        <f>HYPERLINK("https://www.kmpharma.in/product/9806","N-Nitroso Desmethyl Dextromethorphan D3")</f>
        <v>N-Nitroso Desmethyl Dextromethorphan D3</v>
      </c>
      <c r="C912" s="3" t="str">
        <f>HYPERLINK("https://www.kmpharma.in/product/9806","KMD001029")</f>
        <v>KMD001029</v>
      </c>
      <c r="D912" s="3" t="s">
        <v>7</v>
      </c>
      <c r="E912" s="5" t="s">
        <v>321</v>
      </c>
    </row>
    <row r="913" spans="1:5" x14ac:dyDescent="0.25">
      <c r="A913" s="6">
        <v>912</v>
      </c>
      <c r="B913" s="6" t="str">
        <f>HYPERLINK("https://www.kmpharma.in/product/398","N-Nitroso Desmethyl Diltiazem")</f>
        <v>N-Nitroso Desmethyl Diltiazem</v>
      </c>
      <c r="C913" s="6" t="str">
        <f>HYPERLINK("https://www.kmpharma.in/product/398","KMD015001")</f>
        <v>KMD015001</v>
      </c>
      <c r="D913" s="6" t="s">
        <v>35</v>
      </c>
      <c r="E913" s="7" t="s">
        <v>321</v>
      </c>
    </row>
    <row r="914" spans="1:5" x14ac:dyDescent="0.25">
      <c r="A914" s="3">
        <v>913</v>
      </c>
      <c r="B914" s="3" t="str">
        <f>HYPERLINK("https://www.kmpharma.in/product/36211","N-Nitroso Desmethyl Edoxaban Impurity")</f>
        <v>N-Nitroso Desmethyl Edoxaban Impurity</v>
      </c>
      <c r="C914" s="3" t="str">
        <f>HYPERLINK("https://www.kmpharma.in/product/36211","KME028156")</f>
        <v>KME028156</v>
      </c>
      <c r="D914" s="3" t="s">
        <v>7</v>
      </c>
      <c r="E914" s="5" t="s">
        <v>321</v>
      </c>
    </row>
    <row r="915" spans="1:5" x14ac:dyDescent="0.25">
      <c r="A915" s="6">
        <v>914</v>
      </c>
      <c r="B915" s="6" t="str">
        <f>HYPERLINK("https://www.kmpharma.in/product/36257","N-Nitroso Desmethyl Eletriptan Impurity")</f>
        <v>N-Nitroso Desmethyl Eletriptan Impurity</v>
      </c>
      <c r="C915" s="6" t="str">
        <f>HYPERLINK("https://www.kmpharma.in/product/36257","KME039039")</f>
        <v>KME039039</v>
      </c>
      <c r="D915" s="6" t="s">
        <v>7</v>
      </c>
      <c r="E915" s="7" t="s">
        <v>321</v>
      </c>
    </row>
    <row r="916" spans="1:5" x14ac:dyDescent="0.25">
      <c r="A916" s="3">
        <v>915</v>
      </c>
      <c r="B916" s="3" t="str">
        <f>HYPERLINK("https://www.kmpharma.in/product/101","N-Nitroso Desmethyl Erythromycin")</f>
        <v>N-Nitroso Desmethyl Erythromycin</v>
      </c>
      <c r="C916" s="3" t="str">
        <f>HYPERLINK("https://www.kmpharma.in/product/101","KME001001")</f>
        <v>KME001001</v>
      </c>
      <c r="D916" s="3" t="s">
        <v>35</v>
      </c>
      <c r="E916" s="5" t="s">
        <v>321</v>
      </c>
    </row>
    <row r="917" spans="1:5" x14ac:dyDescent="0.25">
      <c r="A917" s="6">
        <v>916</v>
      </c>
      <c r="B917" s="6" t="str">
        <f>HYPERLINK("https://www.kmpharma.in/product/20980","N-Nitroso Desmethyl Miltefosine")</f>
        <v>N-Nitroso Desmethyl Miltefosine</v>
      </c>
      <c r="C917" s="6" t="str">
        <f>HYPERLINK("https://www.kmpharma.in/product/20980","KMM140007")</f>
        <v>KMM140007</v>
      </c>
      <c r="D917" s="6" t="s">
        <v>7</v>
      </c>
      <c r="E917" s="7" t="s">
        <v>321</v>
      </c>
    </row>
    <row r="918" spans="1:5" x14ac:dyDescent="0.25">
      <c r="A918" s="3">
        <v>917</v>
      </c>
      <c r="B918" s="3" t="str">
        <f>HYPERLINK("https://www.kmpharma.in/product/21021","N-nitroso Desmethyl Minocycline Impurity 1")</f>
        <v>N-nitroso Desmethyl Minocycline Impurity 1</v>
      </c>
      <c r="C918" s="3" t="str">
        <f>HYPERLINK("https://www.kmpharma.in/product/21021","KMM021040")</f>
        <v>KMM021040</v>
      </c>
      <c r="D918" s="3" t="s">
        <v>7</v>
      </c>
      <c r="E918" s="5" t="s">
        <v>321</v>
      </c>
    </row>
    <row r="919" spans="1:5" x14ac:dyDescent="0.25">
      <c r="A919" s="6">
        <v>918</v>
      </c>
      <c r="B919" s="6" t="str">
        <f>HYPERLINK("https://www.kmpharma.in/product/21022","N-nitroso Desmethyl Minocycline Impurity 2")</f>
        <v>N-nitroso Desmethyl Minocycline Impurity 2</v>
      </c>
      <c r="C919" s="6" t="str">
        <f>HYPERLINK("https://www.kmpharma.in/product/21022","KMM021041")</f>
        <v>KMM021041</v>
      </c>
      <c r="D919" s="6" t="s">
        <v>120</v>
      </c>
      <c r="E919" s="7" t="s">
        <v>321</v>
      </c>
    </row>
    <row r="920" spans="1:5" x14ac:dyDescent="0.25">
      <c r="A920" s="3">
        <v>919</v>
      </c>
      <c r="B920" s="3" t="str">
        <f>HYPERLINK("https://www.kmpharma.in/product/21020","N-nitroso Desmethyl Minocycline Impurity 3")</f>
        <v>N-nitroso Desmethyl Minocycline Impurity 3</v>
      </c>
      <c r="C920" s="3" t="str">
        <f>HYPERLINK("https://www.kmpharma.in/product/21020","KMM021042")</f>
        <v>KMM021042</v>
      </c>
      <c r="D920" s="3" t="s">
        <v>121</v>
      </c>
      <c r="E920" s="5" t="s">
        <v>321</v>
      </c>
    </row>
    <row r="921" spans="1:5" x14ac:dyDescent="0.25">
      <c r="A921" s="6">
        <v>920</v>
      </c>
      <c r="B921" s="6" t="str">
        <f>HYPERLINK("https://www.kmpharma.in/product/23997","N-Nitroso Desmethyl Orphenadrine")</f>
        <v>N-Nitroso Desmethyl Orphenadrine</v>
      </c>
      <c r="C921" s="6" t="str">
        <f>HYPERLINK("https://www.kmpharma.in/product/23997","KMO040001")</f>
        <v>KMO040001</v>
      </c>
      <c r="D921" s="6" t="s">
        <v>7</v>
      </c>
      <c r="E921" s="7" t="s">
        <v>321</v>
      </c>
    </row>
    <row r="922" spans="1:5" x14ac:dyDescent="0.25">
      <c r="A922" s="3">
        <v>921</v>
      </c>
      <c r="B922" s="3" t="str">
        <f>HYPERLINK("https://www.kmpharma.in/product/25795","N-Nitroso Desmethyl Pimavanserin")</f>
        <v>N-Nitroso Desmethyl Pimavanserin</v>
      </c>
      <c r="C922" s="3" t="str">
        <f>HYPERLINK("https://www.kmpharma.in/product/25795","KMP018003")</f>
        <v>KMP018003</v>
      </c>
      <c r="D922" s="3" t="s">
        <v>7</v>
      </c>
      <c r="E922" s="5" t="s">
        <v>321</v>
      </c>
    </row>
    <row r="923" spans="1:5" x14ac:dyDescent="0.25">
      <c r="A923" s="6">
        <v>922</v>
      </c>
      <c r="B923" s="6" t="str">
        <f>HYPERLINK("https://www.kmpharma.in/product/230","N-Nitroso Desmethyl Promethazine")</f>
        <v>N-Nitroso Desmethyl Promethazine</v>
      </c>
      <c r="C923" s="6" t="str">
        <f>HYPERLINK("https://www.kmpharma.in/product/230","KMP005001")</f>
        <v>KMP005001</v>
      </c>
      <c r="D923" s="6" t="s">
        <v>122</v>
      </c>
      <c r="E923" s="7" t="s">
        <v>321</v>
      </c>
    </row>
    <row r="924" spans="1:5" x14ac:dyDescent="0.25">
      <c r="A924" s="3">
        <v>923</v>
      </c>
      <c r="B924" s="3" t="str">
        <f>HYPERLINK("https://www.kmpharma.in/product/27834","N-Nitroso Desmethyl Ranitidine")</f>
        <v>N-Nitroso Desmethyl Ranitidine</v>
      </c>
      <c r="C924" s="3" t="str">
        <f>HYPERLINK("https://www.kmpharma.in/product/27834","KMR022002")</f>
        <v>KMR022002</v>
      </c>
      <c r="D924" s="3" t="s">
        <v>7</v>
      </c>
      <c r="E924" s="5" t="s">
        <v>321</v>
      </c>
    </row>
    <row r="925" spans="1:5" x14ac:dyDescent="0.25">
      <c r="A925" s="6">
        <v>924</v>
      </c>
      <c r="B925" s="6" t="str">
        <f>HYPERLINK("https://www.kmpharma.in/product/29113","N-Nitroso Desmethyl Rizatriptan")</f>
        <v>N-Nitroso Desmethyl Rizatriptan</v>
      </c>
      <c r="C925" s="6" t="str">
        <f>HYPERLINK("https://www.kmpharma.in/product/29113","KMR074003")</f>
        <v>KMR074003</v>
      </c>
      <c r="D925" s="6" t="s">
        <v>7</v>
      </c>
      <c r="E925" s="7" t="s">
        <v>321</v>
      </c>
    </row>
    <row r="926" spans="1:5" x14ac:dyDescent="0.25">
      <c r="A926" s="3">
        <v>925</v>
      </c>
      <c r="B926" s="3" t="str">
        <f>HYPERLINK("https://www.kmpharma.in/product/7151","N-Nitroso Desmethyl S-Chlorpheniramine")</f>
        <v>N-Nitroso Desmethyl S-Chlorpheniramine</v>
      </c>
      <c r="C926" s="3" t="str">
        <f>HYPERLINK("https://www.kmpharma.in/product/7151","KMC149026")</f>
        <v>KMC149026</v>
      </c>
      <c r="D926" s="3" t="s">
        <v>7</v>
      </c>
      <c r="E926" s="5" t="s">
        <v>321</v>
      </c>
    </row>
    <row r="927" spans="1:5" x14ac:dyDescent="0.25">
      <c r="A927" s="6">
        <v>926</v>
      </c>
      <c r="B927" s="6" t="str">
        <f>HYPERLINK("https://www.kmpharma.in/product/29959","N-Nitroso Desmethyl Sarecycline")</f>
        <v>N-Nitroso Desmethyl Sarecycline</v>
      </c>
      <c r="C927" s="6" t="str">
        <f>HYPERLINK("https://www.kmpharma.in/product/29959","KMS028001")</f>
        <v>KMS028001</v>
      </c>
      <c r="D927" s="6" t="s">
        <v>7</v>
      </c>
      <c r="E927" s="7" t="s">
        <v>321</v>
      </c>
    </row>
    <row r="928" spans="1:5" x14ac:dyDescent="0.25">
      <c r="A928" s="3">
        <v>927</v>
      </c>
      <c r="B928" s="3" t="str">
        <f>HYPERLINK("https://www.kmpharma.in/product/297","N-Nitroso Desmethyl Sumatriptan")</f>
        <v>N-Nitroso Desmethyl Sumatriptan</v>
      </c>
      <c r="C928" s="3" t="str">
        <f>HYPERLINK("https://www.kmpharma.in/product/297","KMS006002")</f>
        <v>KMS006002</v>
      </c>
      <c r="D928" s="3" t="s">
        <v>35</v>
      </c>
      <c r="E928" s="5" t="s">
        <v>321</v>
      </c>
    </row>
    <row r="929" spans="1:5" x14ac:dyDescent="0.25">
      <c r="A929" s="6">
        <v>928</v>
      </c>
      <c r="B929" s="6" t="str">
        <f>HYPERLINK("https://www.kmpharma.in/product/32952","N-Nitroso Desmethyl Tetracaine")</f>
        <v>N-Nitroso Desmethyl Tetracaine</v>
      </c>
      <c r="C929" s="6" t="str">
        <f>HYPERLINK("https://www.kmpharma.in/product/32952","KMT084002")</f>
        <v>KMT084002</v>
      </c>
      <c r="D929" s="6" t="s">
        <v>7</v>
      </c>
      <c r="E929" s="7" t="s">
        <v>321</v>
      </c>
    </row>
    <row r="930" spans="1:5" x14ac:dyDescent="0.25">
      <c r="A930" s="3">
        <v>929</v>
      </c>
      <c r="B930" s="3" t="str">
        <f>HYPERLINK("https://www.kmpharma.in/product/34656","N-Nitroso Desmethyl Trimipramine")</f>
        <v>N-Nitroso Desmethyl Trimipramine</v>
      </c>
      <c r="C930" s="3" t="str">
        <f>HYPERLINK("https://www.kmpharma.in/product/34656","KMT192002")</f>
        <v>KMT192002</v>
      </c>
      <c r="D930" s="3" t="s">
        <v>7</v>
      </c>
      <c r="E930" s="5" t="s">
        <v>321</v>
      </c>
    </row>
    <row r="931" spans="1:5" x14ac:dyDescent="0.25">
      <c r="A931" s="6">
        <v>930</v>
      </c>
      <c r="B931" s="6" t="str">
        <f>HYPERLINK("https://www.kmpharma.in/product/9557","N-Nitroso Desmopressin")</f>
        <v>N-Nitroso Desmopressin</v>
      </c>
      <c r="C931" s="6" t="str">
        <f>HYPERLINK("https://www.kmpharma.in/product/9557","KMD065020")</f>
        <v>KMD065020</v>
      </c>
      <c r="D931" s="6" t="s">
        <v>7</v>
      </c>
      <c r="E931" s="7" t="s">
        <v>321</v>
      </c>
    </row>
    <row r="932" spans="1:5" x14ac:dyDescent="0.25">
      <c r="A932" s="3">
        <v>931</v>
      </c>
      <c r="B932" s="3" t="str">
        <f>HYPERLINK("https://www.kmpharma.in/product/9616","N-Nitroso Desvenlafaxine Impurity 1")</f>
        <v>N-Nitroso Desvenlafaxine Impurity 1</v>
      </c>
      <c r="C932" s="3" t="str">
        <f>HYPERLINK("https://www.kmpharma.in/product/9616","KMD002016")</f>
        <v>KMD002016</v>
      </c>
      <c r="D932" s="3" t="s">
        <v>7</v>
      </c>
      <c r="E932" s="5" t="s">
        <v>321</v>
      </c>
    </row>
    <row r="933" spans="1:5" x14ac:dyDescent="0.25">
      <c r="A933" s="6">
        <v>932</v>
      </c>
      <c r="B933" s="6" t="str">
        <f>HYPERLINK("https://www.kmpharma.in/product/9615","N-Nitroso Desvenlafaxine Impurity 3")</f>
        <v>N-Nitroso Desvenlafaxine Impurity 3</v>
      </c>
      <c r="C933" s="6" t="str">
        <f>HYPERLINK("https://www.kmpharma.in/product/9615","KMD002017")</f>
        <v>KMD002017</v>
      </c>
      <c r="D933" s="6" t="s">
        <v>7</v>
      </c>
      <c r="E933" s="7" t="s">
        <v>321</v>
      </c>
    </row>
    <row r="934" spans="1:5" x14ac:dyDescent="0.25">
      <c r="A934" s="3">
        <v>933</v>
      </c>
      <c r="B934" s="3" t="str">
        <f>HYPERLINK("https://www.kmpharma.in/product/9617","N-Nitroso Desvenlafaxine Impurity 4")</f>
        <v>N-Nitroso Desvenlafaxine Impurity 4</v>
      </c>
      <c r="C934" s="3" t="str">
        <f>HYPERLINK("https://www.kmpharma.in/product/9617","KMD002018")</f>
        <v>KMD002018</v>
      </c>
      <c r="D934" s="3" t="s">
        <v>7</v>
      </c>
      <c r="E934" s="5" t="s">
        <v>321</v>
      </c>
    </row>
    <row r="935" spans="1:5" x14ac:dyDescent="0.25">
      <c r="A935" s="6">
        <v>934</v>
      </c>
      <c r="B935" s="6" t="str">
        <f>HYPERLINK("https://www.kmpharma.in/product/9618","N-Nitroso Desvenlafaxine Impurity 5")</f>
        <v>N-Nitroso Desvenlafaxine Impurity 5</v>
      </c>
      <c r="C935" s="6" t="str">
        <f>HYPERLINK("https://www.kmpharma.in/product/9618","KMD002019")</f>
        <v>KMD002019</v>
      </c>
      <c r="D935" s="6" t="s">
        <v>7</v>
      </c>
      <c r="E935" s="7" t="s">
        <v>321</v>
      </c>
    </row>
    <row r="936" spans="1:5" x14ac:dyDescent="0.25">
      <c r="A936" s="3">
        <v>935</v>
      </c>
      <c r="B936" s="3" t="str">
        <f>HYPERLINK("https://www.kmpharma.in/product/9619","N-Nitroso Desvenlafaxine Impurity 6")</f>
        <v>N-Nitroso Desvenlafaxine Impurity 6</v>
      </c>
      <c r="C936" s="3" t="str">
        <f>HYPERLINK("https://www.kmpharma.in/product/9619","KMD002020")</f>
        <v>KMD002020</v>
      </c>
      <c r="D936" s="3" t="s">
        <v>7</v>
      </c>
      <c r="E936" s="5" t="s">
        <v>321</v>
      </c>
    </row>
    <row r="937" spans="1:5" x14ac:dyDescent="0.25">
      <c r="A937" s="6">
        <v>936</v>
      </c>
      <c r="B937" s="6" t="str">
        <f>HYPERLINK("https://www.kmpharma.in/product/9647","N-Nitroso Deucravacitinib D3")</f>
        <v>N-Nitroso Deucravacitinib D3</v>
      </c>
      <c r="C937" s="6" t="str">
        <f>HYPERLINK("https://www.kmpharma.in/product/9647","KMD073021")</f>
        <v>KMD073021</v>
      </c>
      <c r="D937" s="6" t="s">
        <v>7</v>
      </c>
      <c r="E937" s="7" t="s">
        <v>321</v>
      </c>
    </row>
    <row r="938" spans="1:5" x14ac:dyDescent="0.25">
      <c r="A938" s="3">
        <v>937</v>
      </c>
      <c r="B938" s="3" t="str">
        <f>HYPERLINK("https://www.kmpharma.in/product/9753","N-Nitroso Dexmethylphenidate")</f>
        <v>N-Nitroso Dexmethylphenidate</v>
      </c>
      <c r="C938" s="3" t="str">
        <f>HYPERLINK("https://www.kmpharma.in/product/9753","KMD079001")</f>
        <v>KMD079001</v>
      </c>
      <c r="D938" s="3" t="s">
        <v>7</v>
      </c>
      <c r="E938" s="5" t="s">
        <v>321</v>
      </c>
    </row>
    <row r="939" spans="1:5" x14ac:dyDescent="0.25">
      <c r="A939" s="6">
        <v>938</v>
      </c>
      <c r="B939" s="6" t="str">
        <f>HYPERLINK("https://www.kmpharma.in/product/9807","N-Nitroso Dextromethorphan EP Impurity A")</f>
        <v>N-Nitroso Dextromethorphan EP Impurity A</v>
      </c>
      <c r="C939" s="6" t="str">
        <f>HYPERLINK("https://www.kmpharma.in/product/9807","KMD001030")</f>
        <v>KMD001030</v>
      </c>
      <c r="D939" s="6" t="s">
        <v>7</v>
      </c>
      <c r="E939" s="7" t="s">
        <v>321</v>
      </c>
    </row>
    <row r="940" spans="1:5" x14ac:dyDescent="0.25">
      <c r="A940" s="3">
        <v>939</v>
      </c>
      <c r="B940" s="3" t="str">
        <f>HYPERLINK("https://www.kmpharma.in/product/23037","N-Nitroso Di Isononyl Amine")</f>
        <v>N-Nitroso Di Isononyl Amine</v>
      </c>
      <c r="C940" s="3" t="str">
        <f>HYPERLINK("https://www.kmpharma.in/product/23037","KMN084057")</f>
        <v>KMN084057</v>
      </c>
      <c r="D940" s="3" t="s">
        <v>123</v>
      </c>
      <c r="E940" s="5" t="s">
        <v>321</v>
      </c>
    </row>
    <row r="941" spans="1:5" x14ac:dyDescent="0.25">
      <c r="A941" s="6">
        <v>940</v>
      </c>
      <c r="B941" s="6" t="str">
        <f>HYPERLINK("https://www.kmpharma.in/product/22962","N-nitroso Diallyl amine")</f>
        <v>N-nitroso Diallyl amine</v>
      </c>
      <c r="C941" s="6" t="str">
        <f>HYPERLINK("https://www.kmpharma.in/product/22962","KMN084058")</f>
        <v>KMN084058</v>
      </c>
      <c r="D941" s="6" t="s">
        <v>124</v>
      </c>
      <c r="E941" s="7" t="s">
        <v>321</v>
      </c>
    </row>
    <row r="942" spans="1:5" x14ac:dyDescent="0.25">
      <c r="A942" s="3">
        <v>941</v>
      </c>
      <c r="B942" s="3" t="str">
        <f>HYPERLINK("https://www.kmpharma.in/product/9847","N-Nitroso Diazepam EP Impurity D")</f>
        <v>N-Nitroso Diazepam EP Impurity D</v>
      </c>
      <c r="C942" s="3" t="str">
        <f>HYPERLINK("https://www.kmpharma.in/product/9847","KMD088012")</f>
        <v>KMD088012</v>
      </c>
      <c r="D942" s="3" t="s">
        <v>125</v>
      </c>
      <c r="E942" s="5" t="s">
        <v>321</v>
      </c>
    </row>
    <row r="943" spans="1:5" x14ac:dyDescent="0.25">
      <c r="A943" s="6">
        <v>942</v>
      </c>
      <c r="B943" s="6" t="str">
        <f>HYPERLINK("https://www.kmpharma.in/product/9851","N-Nitroso Diazoxide")</f>
        <v>N-Nitroso Diazoxide</v>
      </c>
      <c r="C943" s="6" t="str">
        <f>HYPERLINK("https://www.kmpharma.in/product/9851","KMD090002")</f>
        <v>KMD090002</v>
      </c>
      <c r="D943" s="6" t="s">
        <v>7</v>
      </c>
      <c r="E943" s="7" t="s">
        <v>321</v>
      </c>
    </row>
    <row r="944" spans="1:5" x14ac:dyDescent="0.25">
      <c r="A944" s="3">
        <v>943</v>
      </c>
      <c r="B944" s="3" t="str">
        <f>HYPERLINK("https://www.kmpharma.in/product/9924","N-Nitroso Diclofenac")</f>
        <v>N-Nitroso Diclofenac</v>
      </c>
      <c r="C944" s="3" t="str">
        <f>HYPERLINK("https://www.kmpharma.in/product/9924","KMD009062")</f>
        <v>KMD009062</v>
      </c>
      <c r="D944" s="3" t="s">
        <v>126</v>
      </c>
      <c r="E944" s="5" t="s">
        <v>321</v>
      </c>
    </row>
    <row r="945" spans="1:5" x14ac:dyDescent="0.25">
      <c r="A945" s="6">
        <v>944</v>
      </c>
      <c r="B945" s="6" t="str">
        <f>HYPERLINK("https://www.kmpharma.in/product/9923","N-Nitroso Diclofenac D4")</f>
        <v>N-Nitroso Diclofenac D4</v>
      </c>
      <c r="C945" s="6" t="str">
        <f>HYPERLINK("https://www.kmpharma.in/product/9923","KMD009063")</f>
        <v>KMD009063</v>
      </c>
      <c r="D945" s="6" t="s">
        <v>7</v>
      </c>
      <c r="E945" s="7" t="s">
        <v>321</v>
      </c>
    </row>
    <row r="946" spans="1:5" x14ac:dyDescent="0.25">
      <c r="A946" s="3">
        <v>945</v>
      </c>
      <c r="B946" s="3" t="str">
        <f>HYPERLINK("https://www.kmpharma.in/product/9927","N-Nitroso Diclofenac EP Impurity B")</f>
        <v>N-Nitroso Diclofenac EP Impurity B</v>
      </c>
      <c r="C946" s="3" t="str">
        <f>HYPERLINK("https://www.kmpharma.in/product/9927","KMD009064")</f>
        <v>KMD009064</v>
      </c>
      <c r="D946" s="3" t="s">
        <v>7</v>
      </c>
      <c r="E946" s="5" t="s">
        <v>321</v>
      </c>
    </row>
    <row r="947" spans="1:5" x14ac:dyDescent="0.25">
      <c r="A947" s="6">
        <v>946</v>
      </c>
      <c r="B947" s="6" t="str">
        <f>HYPERLINK("https://www.kmpharma.in/product/9928","N-Nitroso Diclofenac EP Impurity C")</f>
        <v>N-Nitroso Diclofenac EP Impurity C</v>
      </c>
      <c r="C947" s="6" t="str">
        <f>HYPERLINK("https://www.kmpharma.in/product/9928","KMD009065")</f>
        <v>KMD009065</v>
      </c>
      <c r="D947" s="6" t="s">
        <v>7</v>
      </c>
      <c r="E947" s="7" t="s">
        <v>321</v>
      </c>
    </row>
    <row r="948" spans="1:5" x14ac:dyDescent="0.25">
      <c r="A948" s="3">
        <v>947</v>
      </c>
      <c r="B948" s="3" t="str">
        <f>HYPERLINK("https://www.kmpharma.in/product/9929","N-Nitroso Diclofenac EP Impurity D")</f>
        <v>N-Nitroso Diclofenac EP Impurity D</v>
      </c>
      <c r="C948" s="3" t="str">
        <f>HYPERLINK("https://www.kmpharma.in/product/9929","KMD009066")</f>
        <v>KMD009066</v>
      </c>
      <c r="D948" s="3" t="s">
        <v>7</v>
      </c>
      <c r="E948" s="5" t="s">
        <v>321</v>
      </c>
    </row>
    <row r="949" spans="1:5" x14ac:dyDescent="0.25">
      <c r="A949" s="6">
        <v>948</v>
      </c>
      <c r="B949" s="6" t="str">
        <f>HYPERLINK("https://www.kmpharma.in/product/9925","N-Nitroso Diclofenac Methyl Ester")</f>
        <v>N-Nitroso Diclofenac Methyl Ester</v>
      </c>
      <c r="C949" s="6" t="str">
        <f>HYPERLINK("https://www.kmpharma.in/product/9925","KMD009067")</f>
        <v>KMD009067</v>
      </c>
      <c r="D949" s="6" t="s">
        <v>7</v>
      </c>
      <c r="E949" s="7" t="s">
        <v>321</v>
      </c>
    </row>
    <row r="950" spans="1:5" x14ac:dyDescent="0.25">
      <c r="A950" s="3">
        <v>949</v>
      </c>
      <c r="B950" s="3" t="str">
        <f>HYPERLINK("https://www.kmpharma.in/product/8409","N-Nitroso Didecylamine")</f>
        <v>N-Nitroso Didecylamine</v>
      </c>
      <c r="C950" s="3" t="str">
        <f>HYPERLINK("https://www.kmpharma.in/product/8409","KMC002022")</f>
        <v>KMC002022</v>
      </c>
      <c r="D950" s="3" t="s">
        <v>127</v>
      </c>
      <c r="E950" s="5" t="s">
        <v>321</v>
      </c>
    </row>
    <row r="951" spans="1:5" x14ac:dyDescent="0.25">
      <c r="A951" s="6">
        <v>950</v>
      </c>
      <c r="B951" s="6" t="str">
        <f>HYPERLINK("https://www.kmpharma.in/product/8410","N-Nitroso Dihexyl Aminoquat Dibromide")</f>
        <v>N-Nitroso Dihexyl Aminoquat Dibromide</v>
      </c>
      <c r="C951" s="6" t="str">
        <f>HYPERLINK("https://www.kmpharma.in/product/8410","KMC002023")</f>
        <v>KMC002023</v>
      </c>
      <c r="D951" s="6" t="s">
        <v>7</v>
      </c>
      <c r="E951" s="7" t="s">
        <v>321</v>
      </c>
    </row>
    <row r="952" spans="1:5" x14ac:dyDescent="0.25">
      <c r="A952" s="3">
        <v>951</v>
      </c>
      <c r="B952" s="3" t="str">
        <f>HYPERLINK("https://www.kmpharma.in/product/10144","N-Nitroso Dihydroergotamine Mesilate")</f>
        <v>N-Nitroso Dihydroergotamine Mesilate</v>
      </c>
      <c r="C952" s="3" t="str">
        <f>HYPERLINK("https://www.kmpharma.in/product/10144","KMD116012")</f>
        <v>KMD116012</v>
      </c>
      <c r="D952" s="3" t="s">
        <v>7</v>
      </c>
      <c r="E952" s="5" t="s">
        <v>321</v>
      </c>
    </row>
    <row r="953" spans="1:5" x14ac:dyDescent="0.25">
      <c r="A953" s="6">
        <v>952</v>
      </c>
      <c r="B953" s="6" t="str">
        <f>HYPERLINK("https://www.kmpharma.in/product/36012","N-Nitroso Diltiazem EP Impurity D")</f>
        <v>N-Nitroso Diltiazem EP Impurity D</v>
      </c>
      <c r="C953" s="6" t="str">
        <f>HYPERLINK("https://www.kmpharma.in/product/36012","KMD015049")</f>
        <v>KMD015049</v>
      </c>
      <c r="D953" s="6" t="s">
        <v>7</v>
      </c>
      <c r="E953" s="7" t="s">
        <v>321</v>
      </c>
    </row>
    <row r="954" spans="1:5" x14ac:dyDescent="0.25">
      <c r="A954" s="3">
        <v>953</v>
      </c>
      <c r="B954" s="3" t="str">
        <f>HYPERLINK("https://www.kmpharma.in/product/36013","N-Nitroso Diltiazem EP Impurity G")</f>
        <v>N-Nitroso Diltiazem EP Impurity G</v>
      </c>
      <c r="C954" s="3" t="str">
        <f>HYPERLINK("https://www.kmpharma.in/product/36013","KMD015050")</f>
        <v>KMD015050</v>
      </c>
      <c r="D954" s="3" t="s">
        <v>7</v>
      </c>
      <c r="E954" s="5" t="s">
        <v>321</v>
      </c>
    </row>
    <row r="955" spans="1:5" x14ac:dyDescent="0.25">
      <c r="A955" s="6">
        <v>954</v>
      </c>
      <c r="B955" s="6" t="str">
        <f>HYPERLINK("https://www.kmpharma.in/product/10173","N-Nitroso Dimenhydrinate EP Impurity F")</f>
        <v>N-Nitroso Dimenhydrinate EP Impurity F</v>
      </c>
      <c r="C955" s="6" t="str">
        <f>HYPERLINK("https://www.kmpharma.in/product/10173","KMD120017")</f>
        <v>KMD120017</v>
      </c>
      <c r="D955" s="6" t="s">
        <v>128</v>
      </c>
      <c r="E955" s="7" t="s">
        <v>321</v>
      </c>
    </row>
    <row r="956" spans="1:5" x14ac:dyDescent="0.25">
      <c r="A956" s="3">
        <v>955</v>
      </c>
      <c r="B956" s="3" t="str">
        <f>HYPERLINK("https://www.kmpharma.in/product/31432","N-Nitroso Dimethyl Amino Sugammadex")</f>
        <v>N-Nitroso Dimethyl Amino Sugammadex</v>
      </c>
      <c r="C956" s="3" t="str">
        <f>HYPERLINK("https://www.kmpharma.in/product/31432","KMS095015")</f>
        <v>KMS095015</v>
      </c>
      <c r="D956" s="3" t="s">
        <v>7</v>
      </c>
      <c r="E956" s="5" t="s">
        <v>321</v>
      </c>
    </row>
    <row r="957" spans="1:5" x14ac:dyDescent="0.25">
      <c r="A957" s="6">
        <v>956</v>
      </c>
      <c r="B957" s="6" t="str">
        <f>HYPERLINK("https://www.kmpharma.in/product/23038","N-Nitroso Dimethylhydantoin")</f>
        <v>N-Nitroso Dimethylhydantoin</v>
      </c>
      <c r="C957" s="6" t="str">
        <f>HYPERLINK("https://www.kmpharma.in/product/23038","KMN084059")</f>
        <v>KMN084059</v>
      </c>
      <c r="D957" s="6" t="s">
        <v>129</v>
      </c>
      <c r="E957" s="7" t="s">
        <v>321</v>
      </c>
    </row>
    <row r="958" spans="1:5" x14ac:dyDescent="0.25">
      <c r="A958" s="3">
        <v>957</v>
      </c>
      <c r="B958" s="3" t="str">
        <f>HYPERLINK("https://www.kmpharma.in/product/10194","N-Nitroso Dimetindene EP Impurity I")</f>
        <v>N-Nitroso Dimetindene EP Impurity I</v>
      </c>
      <c r="C958" s="3" t="str">
        <f>HYPERLINK("https://www.kmpharma.in/product/10194","KMD125018")</f>
        <v>KMD125018</v>
      </c>
      <c r="D958" s="3" t="s">
        <v>7</v>
      </c>
      <c r="E958" s="5" t="s">
        <v>321</v>
      </c>
    </row>
    <row r="959" spans="1:5" x14ac:dyDescent="0.25">
      <c r="A959" s="6">
        <v>958</v>
      </c>
      <c r="B959" s="6" t="str">
        <f>HYPERLINK("https://www.kmpharma.in/product/10250","N-Nitroso Diphenhydramine EP Impurity A")</f>
        <v>N-Nitroso Diphenhydramine EP Impurity A</v>
      </c>
      <c r="C959" s="6" t="str">
        <f>HYPERLINK("https://www.kmpharma.in/product/10250","KMD025020")</f>
        <v>KMD025020</v>
      </c>
      <c r="D959" s="6" t="s">
        <v>128</v>
      </c>
      <c r="E959" s="7" t="s">
        <v>321</v>
      </c>
    </row>
    <row r="960" spans="1:5" x14ac:dyDescent="0.25">
      <c r="A960" s="3">
        <v>959</v>
      </c>
      <c r="B960" s="3" t="str">
        <f>HYPERLINK("https://www.kmpharma.in/product/22916","N-Nitroso Diphenyl Amine-d10")</f>
        <v>N-Nitroso Diphenyl Amine-d10</v>
      </c>
      <c r="C960" s="3" t="str">
        <f>HYPERLINK("https://www.kmpharma.in/product/22916","KMN084060")</f>
        <v>KMN084060</v>
      </c>
      <c r="D960" s="3" t="s">
        <v>130</v>
      </c>
      <c r="E960" s="5" t="s">
        <v>321</v>
      </c>
    </row>
    <row r="961" spans="1:5" x14ac:dyDescent="0.25">
      <c r="A961" s="6">
        <v>960</v>
      </c>
      <c r="B961" s="6" t="str">
        <f>HYPERLINK("https://www.kmpharma.in/product/10267","N-Nitroso Dipivefrin")</f>
        <v>N-Nitroso Dipivefrin</v>
      </c>
      <c r="C961" s="6" t="str">
        <f>HYPERLINK("https://www.kmpharma.in/product/10267","KMD135006")</f>
        <v>KMD135006</v>
      </c>
      <c r="D961" s="6" t="s">
        <v>7</v>
      </c>
      <c r="E961" s="7" t="s">
        <v>321</v>
      </c>
    </row>
    <row r="962" spans="1:5" x14ac:dyDescent="0.25">
      <c r="A962" s="3">
        <v>961</v>
      </c>
      <c r="B962" s="3" t="str">
        <f>HYPERLINK("https://www.kmpharma.in/product/464","N-Nitroso Dipyridamole EP Impurity D")</f>
        <v>N-Nitroso Dipyridamole EP Impurity D</v>
      </c>
      <c r="C962" s="3" t="str">
        <f>HYPERLINK("https://www.kmpharma.in/product/464","KMD026001")</f>
        <v>KMD026001</v>
      </c>
      <c r="D962" s="3" t="s">
        <v>35</v>
      </c>
      <c r="E962" s="5" t="s">
        <v>321</v>
      </c>
    </row>
    <row r="963" spans="1:5" x14ac:dyDescent="0.25">
      <c r="A963" s="6">
        <v>962</v>
      </c>
      <c r="B963" s="6" t="str">
        <f>HYPERLINK("https://www.kmpharma.in/product/36014","N-Nitroso Dipyridamole EP Impurity D")</f>
        <v>N-Nitroso Dipyridamole EP Impurity D</v>
      </c>
      <c r="C963" s="6" t="str">
        <f>HYPERLINK("https://www.kmpharma.in/product/36014","KMD026019")</f>
        <v>KMD026019</v>
      </c>
      <c r="D963" s="6" t="s">
        <v>7</v>
      </c>
      <c r="E963" s="7" t="s">
        <v>321</v>
      </c>
    </row>
    <row r="964" spans="1:5" x14ac:dyDescent="0.25">
      <c r="A964" s="3">
        <v>963</v>
      </c>
      <c r="B964" s="3" t="str">
        <f>HYPERLINK("https://www.kmpharma.in/product/10288","N-Nitroso Dipyridamole EP Impurity F")</f>
        <v>N-Nitroso Dipyridamole EP Impurity F</v>
      </c>
      <c r="C964" s="3" t="str">
        <f>HYPERLINK("https://www.kmpharma.in/product/10288","KMD026020")</f>
        <v>KMD026020</v>
      </c>
      <c r="D964" s="3" t="s">
        <v>7</v>
      </c>
      <c r="E964" s="5" t="s">
        <v>321</v>
      </c>
    </row>
    <row r="965" spans="1:5" x14ac:dyDescent="0.25">
      <c r="A965" s="6">
        <v>964</v>
      </c>
      <c r="B965" s="6" t="str">
        <f>HYPERLINK("https://www.kmpharma.in/product/36040","N-Nitroso dobutamine")</f>
        <v>N-Nitroso dobutamine</v>
      </c>
      <c r="C965" s="6" t="str">
        <f>HYPERLINK("https://www.kmpharma.in/product/36040","KMD147026")</f>
        <v>KMD147026</v>
      </c>
      <c r="D965" s="6" t="s">
        <v>7</v>
      </c>
      <c r="E965" s="7" t="s">
        <v>321</v>
      </c>
    </row>
    <row r="966" spans="1:5" x14ac:dyDescent="0.25">
      <c r="A966" s="3">
        <v>965</v>
      </c>
      <c r="B966" s="3" t="str">
        <f>HYPERLINK("https://www.kmpharma.in/product/36041","N-Nitroso Dobutamine D3")</f>
        <v>N-Nitroso Dobutamine D3</v>
      </c>
      <c r="C966" s="3" t="str">
        <f>HYPERLINK("https://www.kmpharma.in/product/36041","KMD147027")</f>
        <v>KMD147027</v>
      </c>
      <c r="D966" s="3" t="s">
        <v>7</v>
      </c>
      <c r="E966" s="5" t="s">
        <v>321</v>
      </c>
    </row>
    <row r="967" spans="1:5" x14ac:dyDescent="0.25">
      <c r="A967" s="6">
        <v>966</v>
      </c>
      <c r="B967" s="6" t="str">
        <f>HYPERLINK("https://www.kmpharma.in/product/10431","N-Nitroso Dofetilide Impurity 1")</f>
        <v>N-Nitroso Dofetilide Impurity 1</v>
      </c>
      <c r="C967" s="6" t="str">
        <f>HYPERLINK("https://www.kmpharma.in/product/10431","KMD011023")</f>
        <v>KMD011023</v>
      </c>
      <c r="D967" s="6" t="s">
        <v>7</v>
      </c>
      <c r="E967" s="7" t="s">
        <v>321</v>
      </c>
    </row>
    <row r="968" spans="1:5" x14ac:dyDescent="0.25">
      <c r="A968" s="3">
        <v>967</v>
      </c>
      <c r="B968" s="3" t="str">
        <f>HYPERLINK("https://www.kmpharma.in/product/10432","N-Nitroso Dofetilide Impurity 2")</f>
        <v>N-Nitroso Dofetilide Impurity 2</v>
      </c>
      <c r="C968" s="3" t="str">
        <f>HYPERLINK("https://www.kmpharma.in/product/10432","KMD011024")</f>
        <v>KMD011024</v>
      </c>
      <c r="D968" s="3" t="s">
        <v>7</v>
      </c>
      <c r="E968" s="5" t="s">
        <v>321</v>
      </c>
    </row>
    <row r="969" spans="1:5" x14ac:dyDescent="0.25">
      <c r="A969" s="6">
        <v>968</v>
      </c>
      <c r="B969" s="6" t="str">
        <f>HYPERLINK("https://www.kmpharma.in/product/10433","N-Nitroso Dofetilide Impurity 3")</f>
        <v>N-Nitroso Dofetilide Impurity 3</v>
      </c>
      <c r="C969" s="6" t="str">
        <f>HYPERLINK("https://www.kmpharma.in/product/10433","KMD011025")</f>
        <v>KMD011025</v>
      </c>
      <c r="D969" s="6" t="s">
        <v>7</v>
      </c>
      <c r="E969" s="7" t="s">
        <v>321</v>
      </c>
    </row>
    <row r="970" spans="1:5" x14ac:dyDescent="0.25">
      <c r="A970" s="3">
        <v>969</v>
      </c>
      <c r="B970" s="3" t="str">
        <f>HYPERLINK("https://www.kmpharma.in/product/10523","N-Nitroso Domperidone")</f>
        <v>N-Nitroso Domperidone</v>
      </c>
      <c r="C970" s="3" t="str">
        <f>HYPERLINK("https://www.kmpharma.in/product/10523","KMD154022")</f>
        <v>KMD154022</v>
      </c>
      <c r="D970" s="3" t="s">
        <v>7</v>
      </c>
      <c r="E970" s="5" t="s">
        <v>321</v>
      </c>
    </row>
    <row r="971" spans="1:5" x14ac:dyDescent="0.25">
      <c r="A971" s="6">
        <v>970</v>
      </c>
      <c r="B971" s="6" t="str">
        <f>HYPERLINK("https://www.kmpharma.in/product/10518","N-Nitroso Domperidone EP Impurity A")</f>
        <v>N-Nitroso Domperidone EP Impurity A</v>
      </c>
      <c r="C971" s="6" t="str">
        <f>HYPERLINK("https://www.kmpharma.in/product/10518","KMD154023")</f>
        <v>KMD154023</v>
      </c>
      <c r="D971" s="6" t="s">
        <v>7</v>
      </c>
      <c r="E971" s="6" t="s">
        <v>16</v>
      </c>
    </row>
    <row r="972" spans="1:5" x14ac:dyDescent="0.25">
      <c r="A972" s="3">
        <v>971</v>
      </c>
      <c r="B972" s="3" t="str">
        <f>HYPERLINK("https://www.kmpharma.in/product/10524","N-Nitroso Domperidone Impurity 1")</f>
        <v>N-Nitroso Domperidone Impurity 1</v>
      </c>
      <c r="C972" s="3" t="str">
        <f>HYPERLINK("https://www.kmpharma.in/product/10524","KMD154024")</f>
        <v>KMD154024</v>
      </c>
      <c r="D972" s="3" t="s">
        <v>7</v>
      </c>
      <c r="E972" s="5" t="s">
        <v>323</v>
      </c>
    </row>
    <row r="973" spans="1:5" x14ac:dyDescent="0.25">
      <c r="A973" s="6">
        <v>972</v>
      </c>
      <c r="B973" s="6" t="str">
        <f>HYPERLINK("https://www.kmpharma.in/product/10519","N-Nitroso Domperidone Impurity 2")</f>
        <v>N-Nitroso Domperidone Impurity 2</v>
      </c>
      <c r="C973" s="6" t="str">
        <f>HYPERLINK("https://www.kmpharma.in/product/10519","KMD154025")</f>
        <v>KMD154025</v>
      </c>
      <c r="D973" s="6" t="s">
        <v>7</v>
      </c>
      <c r="E973" s="7" t="s">
        <v>323</v>
      </c>
    </row>
    <row r="974" spans="1:5" x14ac:dyDescent="0.25">
      <c r="A974" s="3">
        <v>973</v>
      </c>
      <c r="B974" s="3" t="str">
        <f>HYPERLINK("https://www.kmpharma.in/product/10520","N-Nitroso Domperidone Impurity 3")</f>
        <v>N-Nitroso Domperidone Impurity 3</v>
      </c>
      <c r="C974" s="3" t="str">
        <f>HYPERLINK("https://www.kmpharma.in/product/10520","KMD154026")</f>
        <v>KMD154026</v>
      </c>
      <c r="D974" s="3" t="s">
        <v>7</v>
      </c>
      <c r="E974" s="3" t="s">
        <v>16</v>
      </c>
    </row>
    <row r="975" spans="1:5" x14ac:dyDescent="0.25">
      <c r="A975" s="6">
        <v>974</v>
      </c>
      <c r="B975" s="6" t="str">
        <f>HYPERLINK("https://www.kmpharma.in/product/10521","N-Nitroso Domperidone Impurity 4")</f>
        <v>N-Nitroso Domperidone Impurity 4</v>
      </c>
      <c r="C975" s="6" t="str">
        <f>HYPERLINK("https://www.kmpharma.in/product/10521","KMD154027")</f>
        <v>KMD154027</v>
      </c>
      <c r="D975" s="6" t="s">
        <v>7</v>
      </c>
      <c r="E975" s="7" t="s">
        <v>323</v>
      </c>
    </row>
    <row r="976" spans="1:5" x14ac:dyDescent="0.25">
      <c r="A976" s="3">
        <v>975</v>
      </c>
      <c r="B976" s="3" t="str">
        <f>HYPERLINK("https://www.kmpharma.in/product/10522","N-Nitroso Domperidone Impurity 5")</f>
        <v>N-Nitroso Domperidone Impurity 5</v>
      </c>
      <c r="C976" s="3" t="str">
        <f>HYPERLINK("https://www.kmpharma.in/product/10522","KMD154028")</f>
        <v>KMD154028</v>
      </c>
      <c r="D976" s="3" t="s">
        <v>7</v>
      </c>
      <c r="E976" s="5" t="s">
        <v>326</v>
      </c>
    </row>
    <row r="977" spans="1:5" x14ac:dyDescent="0.25">
      <c r="A977" s="6">
        <v>976</v>
      </c>
      <c r="B977" s="6" t="str">
        <f>HYPERLINK("https://www.kmpharma.in/product/10586","N-Nitroso Donepezil EP Impurity A")</f>
        <v>N-Nitroso Donepezil EP Impurity A</v>
      </c>
      <c r="C977" s="6" t="str">
        <f>HYPERLINK("https://www.kmpharma.in/product/10586","KMD155063")</f>
        <v>KMD155063</v>
      </c>
      <c r="D977" s="6" t="s">
        <v>7</v>
      </c>
      <c r="E977" s="7" t="s">
        <v>321</v>
      </c>
    </row>
    <row r="978" spans="1:5" x14ac:dyDescent="0.25">
      <c r="A978" s="3">
        <v>977</v>
      </c>
      <c r="B978" s="3" t="str">
        <f>HYPERLINK("https://www.kmpharma.in/product/10639","N-Nitroso Dorzolamide")</f>
        <v>N-Nitroso Dorzolamide</v>
      </c>
      <c r="C978" s="3" t="str">
        <f>HYPERLINK("https://www.kmpharma.in/product/10639","KMD158026")</f>
        <v>KMD158026</v>
      </c>
      <c r="D978" s="3" t="s">
        <v>7</v>
      </c>
      <c r="E978" s="5" t="s">
        <v>321</v>
      </c>
    </row>
    <row r="979" spans="1:5" x14ac:dyDescent="0.25">
      <c r="A979" s="6">
        <v>978</v>
      </c>
      <c r="B979" s="6" t="str">
        <f>HYPERLINK("https://www.kmpharma.in/product/10667","N-Nitroso Doxazosin EP Impurity B")</f>
        <v>N-Nitroso Doxazosin EP Impurity B</v>
      </c>
      <c r="C979" s="6" t="str">
        <f>HYPERLINK("https://www.kmpharma.in/product/10667","KMD012019")</f>
        <v>KMD012019</v>
      </c>
      <c r="D979" s="6" t="s">
        <v>7</v>
      </c>
      <c r="E979" s="6" t="s">
        <v>16</v>
      </c>
    </row>
    <row r="980" spans="1:5" x14ac:dyDescent="0.25">
      <c r="A980" s="3">
        <v>979</v>
      </c>
      <c r="B980" s="3" t="str">
        <f>HYPERLINK("https://www.kmpharma.in/product/10796","N-Nitroso Dronedarone EP Impurity A")</f>
        <v>N-Nitroso Dronedarone EP Impurity A</v>
      </c>
      <c r="C980" s="3" t="str">
        <f>HYPERLINK("https://www.kmpharma.in/product/10796","KMD165028")</f>
        <v>KMD165028</v>
      </c>
      <c r="D980" s="3" t="s">
        <v>7</v>
      </c>
      <c r="E980" s="5" t="s">
        <v>321</v>
      </c>
    </row>
    <row r="981" spans="1:5" x14ac:dyDescent="0.25">
      <c r="A981" s="6">
        <v>980</v>
      </c>
      <c r="B981" s="6" t="str">
        <f>HYPERLINK("https://www.kmpharma.in/product/10953","N-Nitroso Duloxetine")</f>
        <v>N-Nitroso Duloxetine</v>
      </c>
      <c r="C981" s="6" t="str">
        <f>HYPERLINK("https://www.kmpharma.in/product/10953","KMD014056")</f>
        <v>KMD014056</v>
      </c>
      <c r="D981" s="6" t="s">
        <v>7</v>
      </c>
      <c r="E981" s="7" t="s">
        <v>321</v>
      </c>
    </row>
    <row r="982" spans="1:5" x14ac:dyDescent="0.25">
      <c r="A982" s="3">
        <v>981</v>
      </c>
      <c r="B982" s="3" t="str">
        <f>HYPERLINK("https://www.kmpharma.in/product/10946","N-Nitroso Duloxetine D3")</f>
        <v>N-Nitroso Duloxetine D3</v>
      </c>
      <c r="C982" s="3" t="str">
        <f>HYPERLINK("https://www.kmpharma.in/product/10946","KMD014057")</f>
        <v>KMD014057</v>
      </c>
      <c r="D982" s="3" t="s">
        <v>7</v>
      </c>
      <c r="E982" s="5" t="s">
        <v>323</v>
      </c>
    </row>
    <row r="983" spans="1:5" x14ac:dyDescent="0.25">
      <c r="A983" s="6">
        <v>982</v>
      </c>
      <c r="B983" s="6" t="str">
        <f>HYPERLINK("https://www.kmpharma.in/product/10947","N-Nitroso Duloxetine D5")</f>
        <v>N-Nitroso Duloxetine D5</v>
      </c>
      <c r="C983" s="6" t="str">
        <f>HYPERLINK("https://www.kmpharma.in/product/10947","KMD014058")</f>
        <v>KMD014058</v>
      </c>
      <c r="D983" s="6" t="s">
        <v>7</v>
      </c>
      <c r="E983" s="7" t="s">
        <v>321</v>
      </c>
    </row>
    <row r="984" spans="1:5" x14ac:dyDescent="0.25">
      <c r="A984" s="3">
        <v>983</v>
      </c>
      <c r="B984" s="3" t="str">
        <f>HYPERLINK("https://www.kmpharma.in/product/10955","N-Nitroso Duloxetine EP Impurity A")</f>
        <v>N-Nitroso Duloxetine EP Impurity A</v>
      </c>
      <c r="C984" s="3" t="str">
        <f>HYPERLINK("https://www.kmpharma.in/product/10955","KMD014059")</f>
        <v>KMD014059</v>
      </c>
      <c r="D984" s="3" t="s">
        <v>7</v>
      </c>
      <c r="E984" s="5" t="s">
        <v>323</v>
      </c>
    </row>
    <row r="985" spans="1:5" x14ac:dyDescent="0.25">
      <c r="A985" s="6">
        <v>984</v>
      </c>
      <c r="B985" s="6" t="str">
        <f>HYPERLINK("https://www.kmpharma.in/product/10954","N-Nitroso Duloxetine EP Impurity B")</f>
        <v>N-Nitroso Duloxetine EP Impurity B</v>
      </c>
      <c r="C985" s="6" t="str">
        <f>HYPERLINK("https://www.kmpharma.in/product/10954","KMD014060")</f>
        <v>KMD014060</v>
      </c>
      <c r="D985" s="6" t="s">
        <v>7</v>
      </c>
      <c r="E985" s="6" t="s">
        <v>16</v>
      </c>
    </row>
    <row r="986" spans="1:5" x14ac:dyDescent="0.25">
      <c r="A986" s="3">
        <v>985</v>
      </c>
      <c r="B986" s="3" t="str">
        <f>HYPERLINK("https://www.kmpharma.in/product/10956","N-Nitroso Duloxetine EP Impurity C")</f>
        <v>N-Nitroso Duloxetine EP Impurity C</v>
      </c>
      <c r="C986" s="3" t="str">
        <f>HYPERLINK("https://www.kmpharma.in/product/10956","KMD014061")</f>
        <v>KMD014061</v>
      </c>
      <c r="D986" s="3" t="s">
        <v>7</v>
      </c>
      <c r="E986" s="5" t="s">
        <v>323</v>
      </c>
    </row>
    <row r="987" spans="1:5" x14ac:dyDescent="0.25">
      <c r="A987" s="6">
        <v>986</v>
      </c>
      <c r="B987" s="6" t="str">
        <f>HYPERLINK("https://www.kmpharma.in/product/10957","N-Nitroso Duloxetine EP Impurity E")</f>
        <v>N-Nitroso Duloxetine EP Impurity E</v>
      </c>
      <c r="C987" s="6" t="str">
        <f>HYPERLINK("https://www.kmpharma.in/product/10957","KMD014062")</f>
        <v>KMD014062</v>
      </c>
      <c r="D987" s="6" t="s">
        <v>7</v>
      </c>
      <c r="E987" s="7" t="s">
        <v>323</v>
      </c>
    </row>
    <row r="988" spans="1:5" x14ac:dyDescent="0.25">
      <c r="A988" s="3">
        <v>987</v>
      </c>
      <c r="B988" s="3" t="str">
        <f>HYPERLINK("https://www.kmpharma.in/product/10958","N-Nitroso Duloxetine EP Impurity F")</f>
        <v>N-Nitroso Duloxetine EP Impurity F</v>
      </c>
      <c r="C988" s="3" t="str">
        <f>HYPERLINK("https://www.kmpharma.in/product/10958","KMD014063")</f>
        <v>KMD014063</v>
      </c>
      <c r="D988" s="3" t="s">
        <v>7</v>
      </c>
      <c r="E988" s="5" t="s">
        <v>323</v>
      </c>
    </row>
    <row r="989" spans="1:5" x14ac:dyDescent="0.25">
      <c r="A989" s="6">
        <v>988</v>
      </c>
      <c r="B989" s="6" t="str">
        <f>HYPERLINK("https://www.kmpharma.in/product/10948","N-Nitroso Duloxetine-D7")</f>
        <v>N-Nitroso Duloxetine-D7</v>
      </c>
      <c r="C989" s="6" t="str">
        <f>HYPERLINK("https://www.kmpharma.in/product/10948","KMD014064")</f>
        <v>KMD014064</v>
      </c>
      <c r="D989" s="6" t="s">
        <v>7</v>
      </c>
      <c r="E989" s="7" t="s">
        <v>324</v>
      </c>
    </row>
    <row r="990" spans="1:5" x14ac:dyDescent="0.25">
      <c r="A990" s="3">
        <v>989</v>
      </c>
      <c r="B990" s="3" t="str">
        <f>HYPERLINK("https://www.kmpharma.in/product/10985","N-Nitroso Duvelisib")</f>
        <v>N-Nitroso Duvelisib</v>
      </c>
      <c r="C990" s="3" t="str">
        <f>HYPERLINK("https://www.kmpharma.in/product/10985","KMD173002")</f>
        <v>KMD173002</v>
      </c>
      <c r="D990" s="3" t="s">
        <v>7</v>
      </c>
      <c r="E990" s="5" t="s">
        <v>323</v>
      </c>
    </row>
    <row r="991" spans="1:5" x14ac:dyDescent="0.25">
      <c r="A991" s="6">
        <v>990</v>
      </c>
      <c r="B991" s="6" t="str">
        <f>HYPERLINK("https://www.kmpharma.in/product/36201","N-Nitroso Edoxaban Desmethyl Impurity 1")</f>
        <v>N-Nitroso Edoxaban Desmethyl Impurity 1</v>
      </c>
      <c r="C991" s="6" t="str">
        <f>HYPERLINK("https://www.kmpharma.in/product/36201","KME028157")</f>
        <v>KME028157</v>
      </c>
      <c r="D991" s="6" t="s">
        <v>7</v>
      </c>
      <c r="E991" s="6" t="s">
        <v>16</v>
      </c>
    </row>
    <row r="992" spans="1:5" x14ac:dyDescent="0.25">
      <c r="A992" s="3">
        <v>991</v>
      </c>
      <c r="B992" s="3" t="str">
        <f>HYPERLINK("https://www.kmpharma.in/product/36212","N-Nitroso Edoxaban Desmethyl Impurity 2")</f>
        <v>N-Nitroso Edoxaban Desmethyl Impurity 2</v>
      </c>
      <c r="C992" s="3" t="str">
        <f>HYPERLINK("https://www.kmpharma.in/product/36212","KME028158")</f>
        <v>KME028158</v>
      </c>
      <c r="D992" s="3" t="s">
        <v>7</v>
      </c>
      <c r="E992" s="5" t="s">
        <v>321</v>
      </c>
    </row>
    <row r="993" spans="1:5" x14ac:dyDescent="0.25">
      <c r="A993" s="6">
        <v>992</v>
      </c>
      <c r="B993" s="6" t="str">
        <f>HYPERLINK("https://www.kmpharma.in/product/36216","N-Nitroso Edoxaban Impurity 1")</f>
        <v>N-Nitroso Edoxaban Impurity 1</v>
      </c>
      <c r="C993" s="6" t="str">
        <f>HYPERLINK("https://www.kmpharma.in/product/36216","KME028159")</f>
        <v>KME028159</v>
      </c>
      <c r="D993" s="6" t="s">
        <v>7</v>
      </c>
      <c r="E993" s="7" t="s">
        <v>321</v>
      </c>
    </row>
    <row r="994" spans="1:5" x14ac:dyDescent="0.25">
      <c r="A994" s="3">
        <v>993</v>
      </c>
      <c r="B994" s="3" t="str">
        <f>HYPERLINK("https://www.kmpharma.in/product/36197","N-Nitroso Edoxaban Impurity 2")</f>
        <v>N-Nitroso Edoxaban Impurity 2</v>
      </c>
      <c r="C994" s="3" t="str">
        <f>HYPERLINK("https://www.kmpharma.in/product/36197","KME028160")</f>
        <v>KME028160</v>
      </c>
      <c r="D994" s="3" t="s">
        <v>7</v>
      </c>
      <c r="E994" s="3" t="s">
        <v>16</v>
      </c>
    </row>
    <row r="995" spans="1:5" x14ac:dyDescent="0.25">
      <c r="A995" s="6">
        <v>994</v>
      </c>
      <c r="B995" s="6" t="str">
        <f>HYPERLINK("https://www.kmpharma.in/product/36198","N-Nitroso Edoxaban Impurity 3")</f>
        <v>N-Nitroso Edoxaban Impurity 3</v>
      </c>
      <c r="C995" s="6" t="str">
        <f>HYPERLINK("https://www.kmpharma.in/product/36198","KME028161")</f>
        <v>KME028161</v>
      </c>
      <c r="D995" s="6" t="s">
        <v>7</v>
      </c>
      <c r="E995" s="6" t="s">
        <v>16</v>
      </c>
    </row>
    <row r="996" spans="1:5" x14ac:dyDescent="0.25">
      <c r="A996" s="3">
        <v>995</v>
      </c>
      <c r="B996" s="3" t="str">
        <f>HYPERLINK("https://www.kmpharma.in/product/36199","N-Nitroso Edoxaban Impurity 4")</f>
        <v>N-Nitroso Edoxaban Impurity 4</v>
      </c>
      <c r="C996" s="3" t="str">
        <f>HYPERLINK("https://www.kmpharma.in/product/36199","KME028162")</f>
        <v>KME028162</v>
      </c>
      <c r="D996" s="3" t="s">
        <v>7</v>
      </c>
      <c r="E996" s="3" t="s">
        <v>16</v>
      </c>
    </row>
    <row r="997" spans="1:5" x14ac:dyDescent="0.25">
      <c r="A997" s="6">
        <v>996</v>
      </c>
      <c r="B997" s="6" t="str">
        <f>HYPERLINK("https://www.kmpharma.in/product/36200","N-Nitroso Edoxaban Impurity 5")</f>
        <v>N-Nitroso Edoxaban Impurity 5</v>
      </c>
      <c r="C997" s="6" t="str">
        <f>HYPERLINK("https://www.kmpharma.in/product/36200","KME028163")</f>
        <v>KME028163</v>
      </c>
      <c r="D997" s="6" t="s">
        <v>7</v>
      </c>
      <c r="E997" s="7" t="s">
        <v>321</v>
      </c>
    </row>
    <row r="998" spans="1:5" x14ac:dyDescent="0.25">
      <c r="A998" s="3">
        <v>997</v>
      </c>
      <c r="B998" s="3" t="str">
        <f>HYPERLINK("https://www.kmpharma.in/product/36217","N-Nitroso Edoxaban Impurity 6")</f>
        <v>N-Nitroso Edoxaban Impurity 6</v>
      </c>
      <c r="C998" s="3" t="str">
        <f>HYPERLINK("https://www.kmpharma.in/product/36217","KME028164")</f>
        <v>KME028164</v>
      </c>
      <c r="D998" s="3" t="s">
        <v>7</v>
      </c>
      <c r="E998" s="5" t="s">
        <v>323</v>
      </c>
    </row>
    <row r="999" spans="1:5" x14ac:dyDescent="0.25">
      <c r="A999" s="6">
        <v>998</v>
      </c>
      <c r="B999" s="6" t="str">
        <f>HYPERLINK("https://www.kmpharma.in/product/36213","N-Nitroso Edoxaban Impurity 7")</f>
        <v>N-Nitroso Edoxaban Impurity 7</v>
      </c>
      <c r="C999" s="6" t="str">
        <f>HYPERLINK("https://www.kmpharma.in/product/36213","KME028165")</f>
        <v>KME028165</v>
      </c>
      <c r="D999" s="6" t="s">
        <v>7</v>
      </c>
      <c r="E999" s="6" t="s">
        <v>16</v>
      </c>
    </row>
    <row r="1000" spans="1:5" x14ac:dyDescent="0.25">
      <c r="A1000" s="3">
        <v>999</v>
      </c>
      <c r="B1000" s="3" t="str">
        <f>HYPERLINK("https://www.kmpharma.in/product/36214","N-Nitroso Edoxaban Impurity 8")</f>
        <v>N-Nitroso Edoxaban Impurity 8</v>
      </c>
      <c r="C1000" s="3" t="str">
        <f>HYPERLINK("https://www.kmpharma.in/product/36214","KME028166")</f>
        <v>KME028166</v>
      </c>
      <c r="D1000" s="3" t="s">
        <v>7</v>
      </c>
      <c r="E1000" s="5" t="s">
        <v>321</v>
      </c>
    </row>
    <row r="1001" spans="1:5" x14ac:dyDescent="0.25">
      <c r="A1001" s="6">
        <v>1000</v>
      </c>
      <c r="B1001" s="6" t="str">
        <f>HYPERLINK("https://www.kmpharma.in/product/11295","N-Nitroso Elagolix Impurity 1")</f>
        <v>N-Nitroso Elagolix Impurity 1</v>
      </c>
      <c r="C1001" s="6" t="str">
        <f>HYPERLINK("https://www.kmpharma.in/product/11295","KME035063")</f>
        <v>KME035063</v>
      </c>
      <c r="D1001" s="6" t="s">
        <v>7</v>
      </c>
      <c r="E1001" s="7" t="s">
        <v>321</v>
      </c>
    </row>
    <row r="1002" spans="1:5" x14ac:dyDescent="0.25">
      <c r="A1002" s="3">
        <v>1001</v>
      </c>
      <c r="B1002" s="3" t="str">
        <f>HYPERLINK("https://www.kmpharma.in/product/11296","N-Nitroso Elagolix Impurity 2")</f>
        <v>N-Nitroso Elagolix Impurity 2</v>
      </c>
      <c r="C1002" s="3" t="str">
        <f>HYPERLINK("https://www.kmpharma.in/product/11296","KME035064")</f>
        <v>KME035064</v>
      </c>
      <c r="D1002" s="3" t="s">
        <v>7</v>
      </c>
      <c r="E1002" s="5" t="s">
        <v>323</v>
      </c>
    </row>
    <row r="1003" spans="1:5" x14ac:dyDescent="0.25">
      <c r="A1003" s="6">
        <v>1002</v>
      </c>
      <c r="B1003" s="6" t="str">
        <f>HYPERLINK("https://www.kmpharma.in/product/11298","N-Nitroso Elagolix Impurity 3")</f>
        <v>N-Nitroso Elagolix Impurity 3</v>
      </c>
      <c r="C1003" s="6" t="str">
        <f>HYPERLINK("https://www.kmpharma.in/product/11298","KME035065")</f>
        <v>KME035065</v>
      </c>
      <c r="D1003" s="6" t="s">
        <v>7</v>
      </c>
      <c r="E1003" s="7" t="s">
        <v>321</v>
      </c>
    </row>
    <row r="1004" spans="1:5" x14ac:dyDescent="0.25">
      <c r="A1004" s="3">
        <v>1003</v>
      </c>
      <c r="B1004" s="3" t="str">
        <f>HYPERLINK("https://www.kmpharma.in/product/11299","N-Nitroso Elagolix Impurity 4")</f>
        <v>N-Nitroso Elagolix Impurity 4</v>
      </c>
      <c r="C1004" s="3" t="str">
        <f>HYPERLINK("https://www.kmpharma.in/product/11299","KME035066")</f>
        <v>KME035066</v>
      </c>
      <c r="D1004" s="3" t="s">
        <v>7</v>
      </c>
      <c r="E1004" s="3" t="s">
        <v>16</v>
      </c>
    </row>
    <row r="1005" spans="1:5" x14ac:dyDescent="0.25">
      <c r="A1005" s="6">
        <v>1004</v>
      </c>
      <c r="B1005" s="6" t="str">
        <f>HYPERLINK("https://www.kmpharma.in/product/11331","N-Nitroso Eliglustat")</f>
        <v>N-Nitroso Eliglustat</v>
      </c>
      <c r="C1005" s="6" t="str">
        <f>HYPERLINK("https://www.kmpharma.in/product/11331","KME041027")</f>
        <v>KME041027</v>
      </c>
      <c r="D1005" s="6" t="s">
        <v>7</v>
      </c>
      <c r="E1005" s="7" t="s">
        <v>323</v>
      </c>
    </row>
    <row r="1006" spans="1:5" x14ac:dyDescent="0.25">
      <c r="A1006" s="3">
        <v>1005</v>
      </c>
      <c r="B1006" s="3" t="str">
        <f>HYPERLINK("https://www.kmpharma.in/product/11363","N-Nitroso Elobixibat Impurity 1")</f>
        <v>N-Nitroso Elobixibat Impurity 1</v>
      </c>
      <c r="C1006" s="3" t="str">
        <f>HYPERLINK("https://www.kmpharma.in/product/11363","KME043023")</f>
        <v>KME043023</v>
      </c>
      <c r="D1006" s="3" t="s">
        <v>7</v>
      </c>
      <c r="E1006" s="5" t="s">
        <v>321</v>
      </c>
    </row>
    <row r="1007" spans="1:5" x14ac:dyDescent="0.25">
      <c r="A1007" s="6">
        <v>1006</v>
      </c>
      <c r="B1007" s="6" t="str">
        <f>HYPERLINK("https://www.kmpharma.in/product/11428","N-Nitroso Eltrombopag Ethyl Ester Impurity")</f>
        <v>N-Nitroso Eltrombopag Ethyl Ester Impurity</v>
      </c>
      <c r="C1007" s="6" t="str">
        <f>HYPERLINK("https://www.kmpharma.in/product/11428","KME011064")</f>
        <v>KME011064</v>
      </c>
      <c r="D1007" s="6" t="s">
        <v>7</v>
      </c>
      <c r="E1007" s="6" t="s">
        <v>16</v>
      </c>
    </row>
    <row r="1008" spans="1:5" x14ac:dyDescent="0.25">
      <c r="A1008" s="3">
        <v>1007</v>
      </c>
      <c r="B1008" s="3" t="str">
        <f>HYPERLINK("https://www.kmpharma.in/product/11429","N-Nitroso Eltrombopag Impurity 1")</f>
        <v>N-Nitroso Eltrombopag Impurity 1</v>
      </c>
      <c r="C1008" s="3" t="str">
        <f>HYPERLINK("https://www.kmpharma.in/product/11429","KME011065")</f>
        <v>KME011065</v>
      </c>
      <c r="D1008" s="3" t="s">
        <v>7</v>
      </c>
      <c r="E1008" s="5" t="s">
        <v>321</v>
      </c>
    </row>
    <row r="1009" spans="1:5" x14ac:dyDescent="0.25">
      <c r="A1009" s="6">
        <v>1008</v>
      </c>
      <c r="B1009" s="6" t="str">
        <f>HYPERLINK("https://www.kmpharma.in/product/11430","N-Nitroso Eltrombopag Impurity 2")</f>
        <v>N-Nitroso Eltrombopag Impurity 2</v>
      </c>
      <c r="C1009" s="6" t="str">
        <f>HYPERLINK("https://www.kmpharma.in/product/11430","KME011066")</f>
        <v>KME011066</v>
      </c>
      <c r="D1009" s="6" t="s">
        <v>7</v>
      </c>
      <c r="E1009" s="7" t="s">
        <v>321</v>
      </c>
    </row>
    <row r="1010" spans="1:5" x14ac:dyDescent="0.25">
      <c r="A1010" s="3">
        <v>1009</v>
      </c>
      <c r="B1010" s="3" t="str">
        <f>HYPERLINK("https://www.kmpharma.in/product/11427","N-Nitroso Eltrombopag Impurity 3")</f>
        <v>N-Nitroso Eltrombopag Impurity 3</v>
      </c>
      <c r="C1010" s="3" t="str">
        <f>HYPERLINK("https://www.kmpharma.in/product/11427","KME011067")</f>
        <v>KME011067</v>
      </c>
      <c r="D1010" s="3" t="s">
        <v>7</v>
      </c>
      <c r="E1010" s="5" t="s">
        <v>321</v>
      </c>
    </row>
    <row r="1011" spans="1:5" x14ac:dyDescent="0.25">
      <c r="A1011" s="6">
        <v>1010</v>
      </c>
      <c r="B1011" s="6" t="str">
        <f>HYPERLINK("https://www.kmpharma.in/product/11431","N-Nitroso Eltrombopag Methyl Ester Impurity")</f>
        <v>N-Nitroso Eltrombopag Methyl Ester Impurity</v>
      </c>
      <c r="C1011" s="6" t="str">
        <f>HYPERLINK("https://www.kmpharma.in/product/11431","KME011068")</f>
        <v>KME011068</v>
      </c>
      <c r="D1011" s="6" t="s">
        <v>7</v>
      </c>
      <c r="E1011" s="7" t="s">
        <v>321</v>
      </c>
    </row>
    <row r="1012" spans="1:5" x14ac:dyDescent="0.25">
      <c r="A1012" s="3">
        <v>1011</v>
      </c>
      <c r="B1012" s="3" t="str">
        <f>HYPERLINK("https://www.kmpharma.in/product/11452","N-Nitroso Eluxadoline")</f>
        <v>N-Nitroso Eluxadoline</v>
      </c>
      <c r="C1012" s="3" t="str">
        <f>HYPERLINK("https://www.kmpharma.in/product/11452","KME045019")</f>
        <v>KME045019</v>
      </c>
      <c r="D1012" s="3" t="s">
        <v>7</v>
      </c>
      <c r="E1012" s="3" t="s">
        <v>16</v>
      </c>
    </row>
    <row r="1013" spans="1:5" x14ac:dyDescent="0.25">
      <c r="A1013" s="6">
        <v>1012</v>
      </c>
      <c r="B1013" s="6" t="str">
        <f>HYPERLINK("https://www.kmpharma.in/product/11453","N-Nitroso Eluxadoline Amino Alcohol Impurity")</f>
        <v>N-Nitroso Eluxadoline Amino Alcohol Impurity</v>
      </c>
      <c r="C1013" s="6" t="str">
        <f>HYPERLINK("https://www.kmpharma.in/product/11453","KME045020")</f>
        <v>KME045020</v>
      </c>
      <c r="D1013" s="6" t="s">
        <v>7</v>
      </c>
      <c r="E1013" s="7" t="s">
        <v>321</v>
      </c>
    </row>
    <row r="1014" spans="1:5" x14ac:dyDescent="0.25">
      <c r="A1014" s="3">
        <v>1013</v>
      </c>
      <c r="B1014" s="3" t="str">
        <f>HYPERLINK("https://www.kmpharma.in/product/11454","N-Nitroso Eluxadoline Boc Acid Impurity")</f>
        <v>N-Nitroso Eluxadoline Boc Acid Impurity</v>
      </c>
      <c r="C1014" s="3" t="str">
        <f>HYPERLINK("https://www.kmpharma.in/product/11454","KME045021")</f>
        <v>KME045021</v>
      </c>
      <c r="D1014" s="3" t="s">
        <v>7</v>
      </c>
      <c r="E1014" s="5" t="s">
        <v>322</v>
      </c>
    </row>
    <row r="1015" spans="1:5" x14ac:dyDescent="0.25">
      <c r="A1015" s="6">
        <v>1014</v>
      </c>
      <c r="B1015" s="6" t="str">
        <f>HYPERLINK("https://www.kmpharma.in/product/11455","N-Nitroso Eluxadoline Boc Ester Impurity")</f>
        <v>N-Nitroso Eluxadoline Boc Ester Impurity</v>
      </c>
      <c r="C1015" s="6" t="str">
        <f>HYPERLINK("https://www.kmpharma.in/product/11455","KME045022")</f>
        <v>KME045022</v>
      </c>
      <c r="D1015" s="6" t="s">
        <v>7</v>
      </c>
      <c r="E1015" s="7" t="s">
        <v>323</v>
      </c>
    </row>
    <row r="1016" spans="1:5" x14ac:dyDescent="0.25">
      <c r="A1016" s="3">
        <v>1015</v>
      </c>
      <c r="B1016" s="3" t="str">
        <f>HYPERLINK("https://www.kmpharma.in/product/11456","N-Nitroso Eluxadoline Butyl ester Impurity")</f>
        <v>N-Nitroso Eluxadoline Butyl ester Impurity</v>
      </c>
      <c r="C1016" s="3" t="str">
        <f>HYPERLINK("https://www.kmpharma.in/product/11456","KME045023")</f>
        <v>KME045023</v>
      </c>
      <c r="D1016" s="3" t="s">
        <v>7</v>
      </c>
      <c r="E1016" s="5" t="s">
        <v>321</v>
      </c>
    </row>
    <row r="1017" spans="1:5" x14ac:dyDescent="0.25">
      <c r="A1017" s="6">
        <v>1016</v>
      </c>
      <c r="B1017" s="6" t="str">
        <f>HYPERLINK("https://www.kmpharma.in/product/11457","N-Nitroso Eluxadoline Diacid Impurity")</f>
        <v>N-Nitroso Eluxadoline Diacid Impurity</v>
      </c>
      <c r="C1017" s="6" t="str">
        <f>HYPERLINK("https://www.kmpharma.in/product/11457","KME045024")</f>
        <v>KME045024</v>
      </c>
      <c r="D1017" s="6" t="s">
        <v>7</v>
      </c>
      <c r="E1017" s="6" t="s">
        <v>16</v>
      </c>
    </row>
    <row r="1018" spans="1:5" x14ac:dyDescent="0.25">
      <c r="A1018" s="3">
        <v>1017</v>
      </c>
      <c r="B1018" s="3" t="str">
        <f>HYPERLINK("https://www.kmpharma.in/product/11458","N-Nitroso Eluxadoline Isopropyl ester impurity")</f>
        <v>N-Nitroso Eluxadoline Isopropyl ester impurity</v>
      </c>
      <c r="C1018" s="3" t="str">
        <f>HYPERLINK("https://www.kmpharma.in/product/11458","KME045025")</f>
        <v>KME045025</v>
      </c>
      <c r="D1018" s="3" t="s">
        <v>7</v>
      </c>
      <c r="E1018" s="5" t="s">
        <v>323</v>
      </c>
    </row>
    <row r="1019" spans="1:5" x14ac:dyDescent="0.25">
      <c r="A1019" s="6">
        <v>1018</v>
      </c>
      <c r="B1019" s="6" t="str">
        <f>HYPERLINK("https://www.kmpharma.in/product/11615","N-Nitroso Enalapril")</f>
        <v>N-Nitroso Enalapril</v>
      </c>
      <c r="C1019" s="6" t="str">
        <f>HYPERLINK("https://www.kmpharma.in/product/11615","KME009035")</f>
        <v>KME009035</v>
      </c>
      <c r="D1019" s="6" t="s">
        <v>7</v>
      </c>
      <c r="E1019" s="7" t="s">
        <v>321</v>
      </c>
    </row>
    <row r="1020" spans="1:5" x14ac:dyDescent="0.25">
      <c r="A1020" s="3">
        <v>1019</v>
      </c>
      <c r="B1020" s="3" t="str">
        <f>HYPERLINK("https://www.kmpharma.in/product/11838","N-Nitroso ent-Ephedrine")</f>
        <v>N-Nitroso ent-Ephedrine</v>
      </c>
      <c r="C1020" s="3" t="str">
        <f>HYPERLINK("https://www.kmpharma.in/product/11838","KME062013")</f>
        <v>KME062013</v>
      </c>
      <c r="D1020" s="3" t="s">
        <v>131</v>
      </c>
      <c r="E1020" s="5" t="s">
        <v>321</v>
      </c>
    </row>
    <row r="1021" spans="1:5" x14ac:dyDescent="0.25">
      <c r="A1021" s="6">
        <v>1020</v>
      </c>
      <c r="B1021" s="6" t="str">
        <f>HYPERLINK("https://www.kmpharma.in/product/11817","N-Nitroso Enzalutamide")</f>
        <v>N-Nitroso Enzalutamide</v>
      </c>
      <c r="C1021" s="6" t="str">
        <f>HYPERLINK("https://www.kmpharma.in/product/11817","KME008088")</f>
        <v>KME008088</v>
      </c>
      <c r="D1021" s="6" t="s">
        <v>7</v>
      </c>
      <c r="E1021" s="7" t="s">
        <v>323</v>
      </c>
    </row>
    <row r="1022" spans="1:5" x14ac:dyDescent="0.25">
      <c r="A1022" s="3">
        <v>1021</v>
      </c>
      <c r="B1022" s="3" t="str">
        <f>HYPERLINK("https://www.kmpharma.in/product/11819","N-Nitroso Enzalutamide Impurity 1")</f>
        <v>N-Nitroso Enzalutamide Impurity 1</v>
      </c>
      <c r="C1022" s="3" t="str">
        <f>HYPERLINK("https://www.kmpharma.in/product/11819","KME008089")</f>
        <v>KME008089</v>
      </c>
      <c r="D1022" s="3" t="s">
        <v>7</v>
      </c>
      <c r="E1022" s="5" t="s">
        <v>321</v>
      </c>
    </row>
    <row r="1023" spans="1:5" x14ac:dyDescent="0.25">
      <c r="A1023" s="6">
        <v>1022</v>
      </c>
      <c r="B1023" s="6" t="str">
        <f>HYPERLINK("https://www.kmpharma.in/product/11815","N-Nitroso Enzalutamide Impurity 2")</f>
        <v>N-Nitroso Enzalutamide Impurity 2</v>
      </c>
      <c r="C1023" s="6" t="str">
        <f>HYPERLINK("https://www.kmpharma.in/product/11815","KME008090")</f>
        <v>KME008090</v>
      </c>
      <c r="D1023" s="6" t="s">
        <v>7</v>
      </c>
      <c r="E1023" s="7" t="s">
        <v>321</v>
      </c>
    </row>
    <row r="1024" spans="1:5" x14ac:dyDescent="0.25">
      <c r="A1024" s="3">
        <v>1023</v>
      </c>
      <c r="B1024" s="3" t="str">
        <f>HYPERLINK("https://www.kmpharma.in/product/11816","N-Nitroso Enzalutamide Impurity 3")</f>
        <v>N-Nitroso Enzalutamide Impurity 3</v>
      </c>
      <c r="C1024" s="3" t="str">
        <f>HYPERLINK("https://www.kmpharma.in/product/11816","KME008091")</f>
        <v>KME008091</v>
      </c>
      <c r="D1024" s="3" t="s">
        <v>7</v>
      </c>
      <c r="E1024" s="5" t="s">
        <v>323</v>
      </c>
    </row>
    <row r="1025" spans="1:5" x14ac:dyDescent="0.25">
      <c r="A1025" s="6">
        <v>1024</v>
      </c>
      <c r="B1025" s="6" t="str">
        <f>HYPERLINK("https://www.kmpharma.in/product/11818","N-Nitroso Enzalutamide Impurity D")</f>
        <v>N-Nitroso Enzalutamide Impurity D</v>
      </c>
      <c r="C1025" s="6" t="str">
        <f>HYPERLINK("https://www.kmpharma.in/product/11818","KME008092")</f>
        <v>KME008092</v>
      </c>
      <c r="D1025" s="6" t="s">
        <v>7</v>
      </c>
      <c r="E1025" s="7" t="s">
        <v>323</v>
      </c>
    </row>
    <row r="1026" spans="1:5" x14ac:dyDescent="0.25">
      <c r="A1026" s="3">
        <v>1025</v>
      </c>
      <c r="B1026" s="3" t="str">
        <f>HYPERLINK("https://www.kmpharma.in/product/11836","N-Nitroso Ephedrine")</f>
        <v>N-Nitroso Ephedrine</v>
      </c>
      <c r="C1026" s="3" t="str">
        <f>HYPERLINK("https://www.kmpharma.in/product/11836","KME062014")</f>
        <v>KME062014</v>
      </c>
      <c r="D1026" s="3" t="s">
        <v>132</v>
      </c>
      <c r="E1026" s="3" t="s">
        <v>16</v>
      </c>
    </row>
    <row r="1027" spans="1:5" x14ac:dyDescent="0.25">
      <c r="A1027" s="6">
        <v>1026</v>
      </c>
      <c r="B1027" s="6" t="str">
        <f>HYPERLINK("https://www.kmpharma.in/product/11840","N-Nitroso Ephedrine D3")</f>
        <v>N-Nitroso Ephedrine D3</v>
      </c>
      <c r="C1027" s="6" t="str">
        <f>HYPERLINK("https://www.kmpharma.in/product/11840","KME062015")</f>
        <v>KME062015</v>
      </c>
      <c r="D1027" s="6" t="s">
        <v>7</v>
      </c>
      <c r="E1027" s="6" t="s">
        <v>16</v>
      </c>
    </row>
    <row r="1028" spans="1:5" x14ac:dyDescent="0.25">
      <c r="A1028" s="3">
        <v>1027</v>
      </c>
      <c r="B1028" s="3" t="str">
        <f>HYPERLINK("https://www.kmpharma.in/product/23168","N-Nitroso Epinephrine Impuirty 1")</f>
        <v>N-Nitroso Epinephrine Impuirty 1</v>
      </c>
      <c r="C1028" s="3" t="str">
        <f>HYPERLINK("https://www.kmpharma.in/product/23168","KMN006007")</f>
        <v>KMN006007</v>
      </c>
      <c r="D1028" s="3" t="s">
        <v>7</v>
      </c>
      <c r="E1028" s="5" t="s">
        <v>321</v>
      </c>
    </row>
    <row r="1029" spans="1:5" x14ac:dyDescent="0.25">
      <c r="A1029" s="6">
        <v>1028</v>
      </c>
      <c r="B1029" s="6" t="str">
        <f>HYPERLINK("https://www.kmpharma.in/product/23169","N-Nitroso Epinephrine Impuirty 2")</f>
        <v>N-Nitroso Epinephrine Impuirty 2</v>
      </c>
      <c r="C1029" s="6" t="str">
        <f>HYPERLINK("https://www.kmpharma.in/product/23169","KMN006008")</f>
        <v>KMN006008</v>
      </c>
      <c r="D1029" s="6" t="s">
        <v>7</v>
      </c>
      <c r="E1029" s="7" t="s">
        <v>321</v>
      </c>
    </row>
    <row r="1030" spans="1:5" x14ac:dyDescent="0.25">
      <c r="A1030" s="3">
        <v>1029</v>
      </c>
      <c r="B1030" s="3" t="str">
        <f>HYPERLINK("https://www.kmpharma.in/product/11995","N-Nitroso Eravacycline")</f>
        <v>N-Nitroso Eravacycline</v>
      </c>
      <c r="C1030" s="3" t="str">
        <f>HYPERLINK("https://www.kmpharma.in/product/11995","KME076005")</f>
        <v>KME076005</v>
      </c>
      <c r="D1030" s="3" t="s">
        <v>7</v>
      </c>
      <c r="E1030" s="5" t="s">
        <v>323</v>
      </c>
    </row>
    <row r="1031" spans="1:5" x14ac:dyDescent="0.25">
      <c r="A1031" s="6">
        <v>1030</v>
      </c>
      <c r="B1031" s="6" t="str">
        <f>HYPERLINK("https://www.kmpharma.in/product/12125","N-Nitroso Erlotinib Lactam Impurity")</f>
        <v>N-Nitroso Erlotinib Lactam Impurity</v>
      </c>
      <c r="C1031" s="6" t="str">
        <f>HYPERLINK("https://www.kmpharma.in/product/12125","KME003083")</f>
        <v>KME003083</v>
      </c>
      <c r="D1031" s="6" t="s">
        <v>7</v>
      </c>
      <c r="E1031" s="7" t="s">
        <v>321</v>
      </c>
    </row>
    <row r="1032" spans="1:5" x14ac:dyDescent="0.25">
      <c r="A1032" s="3">
        <v>1031</v>
      </c>
      <c r="B1032" s="3" t="str">
        <f>HYPERLINK("https://www.kmpharma.in/product/36449","N-Nitroso Ertapenem Impurity")</f>
        <v>N-Nitroso Ertapenem Impurity</v>
      </c>
      <c r="C1032" s="3" t="str">
        <f>HYPERLINK("https://www.kmpharma.in/product/36449","KME083048")</f>
        <v>KME083048</v>
      </c>
      <c r="D1032" s="3" t="s">
        <v>7</v>
      </c>
      <c r="E1032" s="5" t="s">
        <v>321</v>
      </c>
    </row>
    <row r="1033" spans="1:5" x14ac:dyDescent="0.25">
      <c r="A1033" s="6">
        <v>1032</v>
      </c>
      <c r="B1033" s="6" t="str">
        <f>HYPERLINK("https://www.kmpharma.in/product/12204","N-Nitroso Erythromycin EP Impurity B")</f>
        <v>N-Nitroso Erythromycin EP Impurity B</v>
      </c>
      <c r="C1033" s="6" t="str">
        <f>HYPERLINK("https://www.kmpharma.in/product/12204","KME001054")</f>
        <v>KME001054</v>
      </c>
      <c r="D1033" s="6" t="s">
        <v>7</v>
      </c>
      <c r="E1033" s="7" t="s">
        <v>321</v>
      </c>
    </row>
    <row r="1034" spans="1:5" x14ac:dyDescent="0.25">
      <c r="A1034" s="3">
        <v>1033</v>
      </c>
      <c r="B1034" s="3" t="str">
        <f>HYPERLINK("https://www.kmpharma.in/product/173","N-Nitroso Escitalopram")</f>
        <v>N-Nitroso Escitalopram</v>
      </c>
      <c r="C1034" s="3" t="str">
        <f>HYPERLINK("https://www.kmpharma.in/product/173","KME004001")</f>
        <v>KME004001</v>
      </c>
      <c r="D1034" s="3" t="s">
        <v>35</v>
      </c>
      <c r="E1034" s="5" t="s">
        <v>321</v>
      </c>
    </row>
    <row r="1035" spans="1:5" x14ac:dyDescent="0.25">
      <c r="A1035" s="6">
        <v>1034</v>
      </c>
      <c r="B1035" s="6" t="str">
        <f>HYPERLINK("https://www.kmpharma.in/product/12256","N-Nitroso Escitalopram EP Impurity D")</f>
        <v>N-Nitroso Escitalopram EP Impurity D</v>
      </c>
      <c r="C1035" s="6" t="str">
        <f>HYPERLINK("https://www.kmpharma.in/product/12256","KME004041")</f>
        <v>KME004041</v>
      </c>
      <c r="D1035" s="6" t="s">
        <v>7</v>
      </c>
      <c r="E1035" s="6" t="s">
        <v>16</v>
      </c>
    </row>
    <row r="1036" spans="1:5" x14ac:dyDescent="0.25">
      <c r="A1036" s="3">
        <v>1035</v>
      </c>
      <c r="B1036" s="3" t="str">
        <f>HYPERLINK("https://www.kmpharma.in/product/12338","N-Nitroso Esomeprazole")</f>
        <v>N-Nitroso Esomeprazole</v>
      </c>
      <c r="C1036" s="3" t="str">
        <f>HYPERLINK("https://www.kmpharma.in/product/12338","KME013045")</f>
        <v>KME013045</v>
      </c>
      <c r="D1036" s="3" t="s">
        <v>7</v>
      </c>
      <c r="E1036" s="3" t="s">
        <v>16</v>
      </c>
    </row>
    <row r="1037" spans="1:5" x14ac:dyDescent="0.25">
      <c r="A1037" s="6">
        <v>1036</v>
      </c>
      <c r="B1037" s="6" t="str">
        <f>HYPERLINK("https://www.kmpharma.in/product/12547","N-Nitroso Ethambutol EP Impurity C")</f>
        <v>N-Nitroso Ethambutol EP Impurity C</v>
      </c>
      <c r="C1037" s="6" t="str">
        <f>HYPERLINK("https://www.kmpharma.in/product/12547","KME021016")</f>
        <v>KME021016</v>
      </c>
      <c r="D1037" s="6" t="s">
        <v>133</v>
      </c>
      <c r="E1037" s="7" t="s">
        <v>321</v>
      </c>
    </row>
    <row r="1038" spans="1:5" x14ac:dyDescent="0.25">
      <c r="A1038" s="3">
        <v>1037</v>
      </c>
      <c r="B1038" s="3" t="str">
        <f>HYPERLINK("https://www.kmpharma.in/product/19172","N-Nitroso Ethyl Isonipecotate")</f>
        <v>N-Nitroso Ethyl Isonipecotate</v>
      </c>
      <c r="C1038" s="3" t="str">
        <f>HYPERLINK("https://www.kmpharma.in/product/19172","KML095051")</f>
        <v>KML095051</v>
      </c>
      <c r="D1038" s="3" t="s">
        <v>134</v>
      </c>
      <c r="E1038" s="5" t="s">
        <v>321</v>
      </c>
    </row>
    <row r="1039" spans="1:5" x14ac:dyDescent="0.25">
      <c r="A1039" s="6">
        <v>1038</v>
      </c>
      <c r="B1039" s="6" t="str">
        <f>HYPERLINK("https://www.kmpharma.in/product/39117","N-Nitroso Ethyl Isopropyl Amine-d12")</f>
        <v>N-Nitroso Ethyl Isopropyl Amine-d12</v>
      </c>
      <c r="C1039" s="6" t="str">
        <f>HYPERLINK("https://www.kmpharma.in/product/39117","KMV008009")</f>
        <v>KMV008009</v>
      </c>
      <c r="D1039" s="6" t="s">
        <v>7</v>
      </c>
      <c r="E1039" s="7" t="s">
        <v>321</v>
      </c>
    </row>
    <row r="1040" spans="1:5" x14ac:dyDescent="0.25">
      <c r="A1040" s="3">
        <v>1039</v>
      </c>
      <c r="B1040" s="3" t="str">
        <f>HYPERLINK("https://www.kmpharma.in/product/39118","N-Nitroso Ethyl Isopropyl Amine-d5")</f>
        <v>N-Nitroso Ethyl Isopropyl Amine-d5</v>
      </c>
      <c r="C1040" s="3" t="str">
        <f>HYPERLINK("https://www.kmpharma.in/product/39118","KMV008010")</f>
        <v>KMV008010</v>
      </c>
      <c r="D1040" s="3" t="s">
        <v>7</v>
      </c>
      <c r="E1040" s="3" t="s">
        <v>16</v>
      </c>
    </row>
    <row r="1041" spans="1:5" x14ac:dyDescent="0.25">
      <c r="A1041" s="6">
        <v>1040</v>
      </c>
      <c r="B1041" s="6" t="str">
        <f>HYPERLINK("https://www.kmpharma.in/product/23068","N-Nitroso Ethylene Diamino Triacetic Acid")</f>
        <v>N-Nitroso Ethylene Diamino Triacetic Acid</v>
      </c>
      <c r="C1041" s="6" t="str">
        <f>HYPERLINK("https://www.kmpharma.in/product/23068","KMN084061")</f>
        <v>KMN084061</v>
      </c>
      <c r="D1041" s="6" t="s">
        <v>135</v>
      </c>
      <c r="E1041" s="6" t="s">
        <v>16</v>
      </c>
    </row>
    <row r="1042" spans="1:5" x14ac:dyDescent="0.25">
      <c r="A1042" s="3">
        <v>1041</v>
      </c>
      <c r="B1042" s="3" t="str">
        <f>HYPERLINK("https://www.kmpharma.in/product/19738","N-Nitroso Ethylene hydroxy Impurity")</f>
        <v>N-Nitroso Ethylene hydroxy Impurity</v>
      </c>
      <c r="C1042" s="3" t="str">
        <f>HYPERLINK("https://www.kmpharma.in/product/19738","KMM015041")</f>
        <v>KMM015041</v>
      </c>
      <c r="D1042" s="3" t="s">
        <v>7</v>
      </c>
      <c r="E1042" s="5" t="s">
        <v>322</v>
      </c>
    </row>
    <row r="1043" spans="1:5" x14ac:dyDescent="0.25">
      <c r="A1043" s="6">
        <v>1042</v>
      </c>
      <c r="B1043" s="6" t="str">
        <f>HYPERLINK("https://www.kmpharma.in/product/12606","N-Nitroso Etilefrine")</f>
        <v>N-Nitroso Etilefrine</v>
      </c>
      <c r="C1043" s="6" t="str">
        <f>HYPERLINK("https://www.kmpharma.in/product/12606","KME114010")</f>
        <v>KME114010</v>
      </c>
      <c r="D1043" s="6" t="s">
        <v>136</v>
      </c>
      <c r="E1043" s="7" t="s">
        <v>322</v>
      </c>
    </row>
    <row r="1044" spans="1:5" x14ac:dyDescent="0.25">
      <c r="A1044" s="3">
        <v>1043</v>
      </c>
      <c r="B1044" s="3" t="str">
        <f>HYPERLINK("https://www.kmpharma.in/product/12607","N-Nitroso Etilefrine EP Impurity F")</f>
        <v>N-Nitroso Etilefrine EP Impurity F</v>
      </c>
      <c r="C1044" s="3" t="str">
        <f>HYPERLINK("https://www.kmpharma.in/product/12607","KME114011")</f>
        <v>KME114011</v>
      </c>
      <c r="D1044" s="3" t="s">
        <v>7</v>
      </c>
      <c r="E1044" s="5" t="s">
        <v>321</v>
      </c>
    </row>
    <row r="1045" spans="1:5" x14ac:dyDescent="0.25">
      <c r="A1045" s="6">
        <v>1044</v>
      </c>
      <c r="B1045" s="6" t="str">
        <f>HYPERLINK("https://www.kmpharma.in/product/12661","N-Nitroso Etofenamate EP Impurity C")</f>
        <v>N-Nitroso Etofenamate EP Impurity C</v>
      </c>
      <c r="C1045" s="6" t="str">
        <f>HYPERLINK("https://www.kmpharma.in/product/12661","KME117011")</f>
        <v>KME117011</v>
      </c>
      <c r="D1045" s="6" t="s">
        <v>7</v>
      </c>
      <c r="E1045" s="7" t="s">
        <v>321</v>
      </c>
    </row>
    <row r="1046" spans="1:5" x14ac:dyDescent="0.25">
      <c r="A1046" s="3">
        <v>1045</v>
      </c>
      <c r="B1046" s="3" t="str">
        <f>HYPERLINK("https://www.kmpharma.in/product/12794","N-Nitroso Etrasimod")</f>
        <v>N-Nitroso Etrasimod</v>
      </c>
      <c r="C1046" s="3" t="str">
        <f>HYPERLINK("https://www.kmpharma.in/product/12794","KME125017")</f>
        <v>KME125017</v>
      </c>
      <c r="D1046" s="3" t="s">
        <v>7</v>
      </c>
      <c r="E1046" s="5" t="s">
        <v>321</v>
      </c>
    </row>
    <row r="1047" spans="1:5" x14ac:dyDescent="0.25">
      <c r="A1047" s="6">
        <v>1046</v>
      </c>
      <c r="B1047" s="6" t="str">
        <f>HYPERLINK("https://www.kmpharma.in/product/12866","N-Nitroso Evobrutinib")</f>
        <v>N-Nitroso Evobrutinib</v>
      </c>
      <c r="C1047" s="6" t="str">
        <f>HYPERLINK("https://www.kmpharma.in/product/12866","KME130002")</f>
        <v>KME130002</v>
      </c>
      <c r="D1047" s="6" t="s">
        <v>7</v>
      </c>
      <c r="E1047" s="7" t="s">
        <v>321</v>
      </c>
    </row>
    <row r="1048" spans="1:5" x14ac:dyDescent="0.25">
      <c r="A1048" s="3">
        <v>1047</v>
      </c>
      <c r="B1048" s="3" t="str">
        <f>HYPERLINK("https://www.kmpharma.in/product/12882","N-Nitroso Exametazime")</f>
        <v>N-Nitroso Exametazime</v>
      </c>
      <c r="C1048" s="3" t="str">
        <f>HYPERLINK("https://www.kmpharma.in/product/12882","KME133002")</f>
        <v>KME133002</v>
      </c>
      <c r="D1048" s="3" t="s">
        <v>7</v>
      </c>
      <c r="E1048" s="5" t="s">
        <v>321</v>
      </c>
    </row>
    <row r="1049" spans="1:5" x14ac:dyDescent="0.25">
      <c r="A1049" s="6">
        <v>1048</v>
      </c>
      <c r="B1049" s="6" t="str">
        <f>HYPERLINK("https://www.kmpharma.in/product/13059","N-Nitroso Ezetimibe")</f>
        <v>N-Nitroso Ezetimibe</v>
      </c>
      <c r="C1049" s="6" t="str">
        <f>HYPERLINK("https://www.kmpharma.in/product/13059","KME005130")</f>
        <v>KME005130</v>
      </c>
      <c r="D1049" s="6" t="s">
        <v>7</v>
      </c>
      <c r="E1049" s="7" t="s">
        <v>321</v>
      </c>
    </row>
    <row r="1050" spans="1:5" x14ac:dyDescent="0.25">
      <c r="A1050" s="3">
        <v>1049</v>
      </c>
      <c r="B1050" s="3" t="str">
        <f>HYPERLINK("https://www.kmpharma.in/product/13056","N-Nitroso Ezetimibe Open-Ring Acid")</f>
        <v>N-Nitroso Ezetimibe Open-Ring Acid</v>
      </c>
      <c r="C1050" s="3" t="str">
        <f>HYPERLINK("https://www.kmpharma.in/product/13056","KME005131")</f>
        <v>KME005131</v>
      </c>
      <c r="D1050" s="3" t="s">
        <v>7</v>
      </c>
      <c r="E1050" s="5" t="s">
        <v>321</v>
      </c>
    </row>
    <row r="1051" spans="1:5" x14ac:dyDescent="0.25">
      <c r="A1051" s="6">
        <v>1050</v>
      </c>
      <c r="B1051" s="6" t="str">
        <f>HYPERLINK("https://www.kmpharma.in/product/13139","N-Nitroso Famotidine - I")</f>
        <v>N-Nitroso Famotidine - I</v>
      </c>
      <c r="C1051" s="6" t="str">
        <f>HYPERLINK("https://www.kmpharma.in/product/13139","KMF014051")</f>
        <v>KMF014051</v>
      </c>
      <c r="D1051" s="6" t="s">
        <v>7</v>
      </c>
      <c r="E1051" s="7" t="s">
        <v>321</v>
      </c>
    </row>
    <row r="1052" spans="1:5" x14ac:dyDescent="0.25">
      <c r="A1052" s="3">
        <v>1051</v>
      </c>
      <c r="B1052" s="3" t="str">
        <f>HYPERLINK("https://www.kmpharma.in/product/13142","N-Nitroso Famotidine -II")</f>
        <v>N-Nitroso Famotidine -II</v>
      </c>
      <c r="C1052" s="3" t="str">
        <f>HYPERLINK("https://www.kmpharma.in/product/13142","KMF014052")</f>
        <v>KMF014052</v>
      </c>
      <c r="D1052" s="3" t="s">
        <v>7</v>
      </c>
      <c r="E1052" s="5" t="s">
        <v>321</v>
      </c>
    </row>
    <row r="1053" spans="1:5" x14ac:dyDescent="0.25">
      <c r="A1053" s="6">
        <v>1052</v>
      </c>
      <c r="B1053" s="6" t="str">
        <f>HYPERLINK("https://www.kmpharma.in/product/13140","N-Nitroso Famotidine EP Impurity B")</f>
        <v>N-Nitroso Famotidine EP Impurity B</v>
      </c>
      <c r="C1053" s="6" t="str">
        <f>HYPERLINK("https://www.kmpharma.in/product/13140","KMF014053")</f>
        <v>KMF014053</v>
      </c>
      <c r="D1053" s="6" t="s">
        <v>7</v>
      </c>
      <c r="E1053" s="7" t="s">
        <v>321</v>
      </c>
    </row>
    <row r="1054" spans="1:5" x14ac:dyDescent="0.25">
      <c r="A1054" s="3">
        <v>1053</v>
      </c>
      <c r="B1054" s="3" t="str">
        <f>HYPERLINK("https://www.kmpharma.in/product/13269","N-Nitroso Fedratinib Impurity 1")</f>
        <v>N-Nitroso Fedratinib Impurity 1</v>
      </c>
      <c r="C1054" s="3" t="str">
        <f>HYPERLINK("https://www.kmpharma.in/product/13269","KMF020006")</f>
        <v>KMF020006</v>
      </c>
      <c r="D1054" s="3" t="s">
        <v>7</v>
      </c>
      <c r="E1054" s="5" t="s">
        <v>321</v>
      </c>
    </row>
    <row r="1055" spans="1:5" x14ac:dyDescent="0.25">
      <c r="A1055" s="6">
        <v>1054</v>
      </c>
      <c r="B1055" s="6" t="str">
        <f>HYPERLINK("https://www.kmpharma.in/product/13268","N-Nitroso Fedratinib Impurity 2")</f>
        <v>N-Nitroso Fedratinib Impurity 2</v>
      </c>
      <c r="C1055" s="6" t="str">
        <f>HYPERLINK("https://www.kmpharma.in/product/13268","KMF020007")</f>
        <v>KMF020007</v>
      </c>
      <c r="D1055" s="6" t="s">
        <v>7</v>
      </c>
      <c r="E1055" s="7" t="s">
        <v>323</v>
      </c>
    </row>
    <row r="1056" spans="1:5" x14ac:dyDescent="0.25">
      <c r="A1056" s="3">
        <v>1055</v>
      </c>
      <c r="B1056" s="3" t="str">
        <f>HYPERLINK("https://www.kmpharma.in/product/13270","N-Nitroso Fedratinib Impurity 3")</f>
        <v>N-Nitroso Fedratinib Impurity 3</v>
      </c>
      <c r="C1056" s="3" t="str">
        <f>HYPERLINK("https://www.kmpharma.in/product/13270","KMF020008")</f>
        <v>KMF020008</v>
      </c>
      <c r="D1056" s="3" t="s">
        <v>7</v>
      </c>
      <c r="E1056" s="5" t="s">
        <v>323</v>
      </c>
    </row>
    <row r="1057" spans="1:5" x14ac:dyDescent="0.25">
      <c r="A1057" s="6">
        <v>1056</v>
      </c>
      <c r="B1057" s="6" t="str">
        <f>HYPERLINK("https://www.kmpharma.in/product/13271","N-Nitroso Fedratinib Impurity 4")</f>
        <v>N-Nitroso Fedratinib Impurity 4</v>
      </c>
      <c r="C1057" s="6" t="str">
        <f>HYPERLINK("https://www.kmpharma.in/product/13271","KMF020009")</f>
        <v>KMF020009</v>
      </c>
      <c r="D1057" s="6" t="s">
        <v>7</v>
      </c>
      <c r="E1057" s="7" t="s">
        <v>321</v>
      </c>
    </row>
    <row r="1058" spans="1:5" x14ac:dyDescent="0.25">
      <c r="A1058" s="3">
        <v>1057</v>
      </c>
      <c r="B1058" s="3" t="str">
        <f>HYPERLINK("https://www.kmpharma.in/product/13272","N-Nitroso Fedratinib Impurity 5")</f>
        <v>N-Nitroso Fedratinib Impurity 5</v>
      </c>
      <c r="C1058" s="3" t="str">
        <f>HYPERLINK("https://www.kmpharma.in/product/13272","KMF020010")</f>
        <v>KMF020010</v>
      </c>
      <c r="D1058" s="3" t="s">
        <v>7</v>
      </c>
      <c r="E1058" s="3" t="s">
        <v>16</v>
      </c>
    </row>
    <row r="1059" spans="1:5" x14ac:dyDescent="0.25">
      <c r="A1059" s="6">
        <v>1058</v>
      </c>
      <c r="B1059" s="6" t="str">
        <f>HYPERLINK("https://www.kmpharma.in/product/13360","N-Nitroso Fenoldopam Impurity")</f>
        <v>N-Nitroso Fenoldopam Impurity</v>
      </c>
      <c r="C1059" s="6" t="str">
        <f>HYPERLINK("https://www.kmpharma.in/product/13360","KMF030004")</f>
        <v>KMF030004</v>
      </c>
      <c r="D1059" s="6" t="s">
        <v>7</v>
      </c>
      <c r="E1059" s="6" t="s">
        <v>16</v>
      </c>
    </row>
    <row r="1060" spans="1:5" x14ac:dyDescent="0.25">
      <c r="A1060" s="3">
        <v>1059</v>
      </c>
      <c r="B1060" s="3" t="str">
        <f>HYPERLINK("https://www.kmpharma.in/product/13419","N-Nitroso Fentanyl Impurity 1")</f>
        <v>N-Nitroso Fentanyl Impurity 1</v>
      </c>
      <c r="C1060" s="3" t="str">
        <f>HYPERLINK("https://www.kmpharma.in/product/13419","KMF038024")</f>
        <v>KMF038024</v>
      </c>
      <c r="D1060" s="3" t="s">
        <v>7</v>
      </c>
      <c r="E1060" s="5" t="s">
        <v>321</v>
      </c>
    </row>
    <row r="1061" spans="1:5" x14ac:dyDescent="0.25">
      <c r="A1061" s="6">
        <v>1060</v>
      </c>
      <c r="B1061" s="6" t="str">
        <f>HYPERLINK("https://www.kmpharma.in/product/13418","N-Nitroso Fentanyl Impurity 2")</f>
        <v>N-Nitroso Fentanyl Impurity 2</v>
      </c>
      <c r="C1061" s="6" t="str">
        <f>HYPERLINK("https://www.kmpharma.in/product/13418","KMF038025")</f>
        <v>KMF038025</v>
      </c>
      <c r="D1061" s="6" t="s">
        <v>7</v>
      </c>
      <c r="E1061" s="7" t="s">
        <v>321</v>
      </c>
    </row>
    <row r="1062" spans="1:5" x14ac:dyDescent="0.25">
      <c r="A1062" s="3">
        <v>1061</v>
      </c>
      <c r="B1062" s="3" t="str">
        <f>HYPERLINK("https://www.kmpharma.in/product/13479","N-Nitroso Fesoterodine Impurity")</f>
        <v>N-Nitroso Fesoterodine Impurity</v>
      </c>
      <c r="C1062" s="3" t="str">
        <f>HYPERLINK("https://www.kmpharma.in/product/13479","KMF042044")</f>
        <v>KMF042044</v>
      </c>
      <c r="D1062" s="3" t="s">
        <v>7</v>
      </c>
      <c r="E1062" s="5" t="s">
        <v>321</v>
      </c>
    </row>
    <row r="1063" spans="1:5" x14ac:dyDescent="0.25">
      <c r="A1063" s="6">
        <v>1062</v>
      </c>
      <c r="B1063" s="6" t="str">
        <f>HYPERLINK("https://www.kmpharma.in/product/13480","N-Nitroso Fesoterodine Impurity 1")</f>
        <v>N-Nitroso Fesoterodine Impurity 1</v>
      </c>
      <c r="C1063" s="6" t="str">
        <f>HYPERLINK("https://www.kmpharma.in/product/13480","KMF042045")</f>
        <v>KMF042045</v>
      </c>
      <c r="D1063" s="6" t="s">
        <v>7</v>
      </c>
      <c r="E1063" s="7" t="s">
        <v>323</v>
      </c>
    </row>
    <row r="1064" spans="1:5" x14ac:dyDescent="0.25">
      <c r="A1064" s="3">
        <v>1063</v>
      </c>
      <c r="B1064" s="3" t="str">
        <f>HYPERLINK("https://www.kmpharma.in/product/13481","N-Nitroso Fesoterodine Impurity 2")</f>
        <v>N-Nitroso Fesoterodine Impurity 2</v>
      </c>
      <c r="C1064" s="3" t="str">
        <f>HYPERLINK("https://www.kmpharma.in/product/13481","KMF042046")</f>
        <v>KMF042046</v>
      </c>
      <c r="D1064" s="3" t="s">
        <v>7</v>
      </c>
      <c r="E1064" s="5" t="s">
        <v>321</v>
      </c>
    </row>
    <row r="1065" spans="1:5" x14ac:dyDescent="0.25">
      <c r="A1065" s="6">
        <v>1064</v>
      </c>
      <c r="B1065" s="6" t="str">
        <f>HYPERLINK("https://www.kmpharma.in/product/13482","N-Nitroso Fesoterodine Impurity 3")</f>
        <v>N-Nitroso Fesoterodine Impurity 3</v>
      </c>
      <c r="C1065" s="6" t="str">
        <f>HYPERLINK("https://www.kmpharma.in/product/13482","KMF042047")</f>
        <v>KMF042047</v>
      </c>
      <c r="D1065" s="6" t="s">
        <v>7</v>
      </c>
      <c r="E1065" s="7" t="s">
        <v>321</v>
      </c>
    </row>
    <row r="1066" spans="1:5" x14ac:dyDescent="0.25">
      <c r="A1066" s="3">
        <v>1065</v>
      </c>
      <c r="B1066" s="3" t="str">
        <f>HYPERLINK("https://www.kmpharma.in/product/13483","N-Nitroso Fesoterodine Impurity 4")</f>
        <v>N-Nitroso Fesoterodine Impurity 4</v>
      </c>
      <c r="C1066" s="3" t="str">
        <f>HYPERLINK("https://www.kmpharma.in/product/13483","KMF042048")</f>
        <v>KMF042048</v>
      </c>
      <c r="D1066" s="3" t="s">
        <v>7</v>
      </c>
      <c r="E1066" s="3" t="s">
        <v>16</v>
      </c>
    </row>
    <row r="1067" spans="1:5" x14ac:dyDescent="0.25">
      <c r="A1067" s="6">
        <v>1066</v>
      </c>
      <c r="B1067" s="6" t="str">
        <f>HYPERLINK("https://www.kmpharma.in/product/36473","N-Nitroso Finasteride Dihydro Carboxylic Acid")</f>
        <v>N-Nitroso Finasteride Dihydro Carboxylic Acid</v>
      </c>
      <c r="C1067" s="6" t="str">
        <f>HYPERLINK("https://www.kmpharma.in/product/36473","KMF048017")</f>
        <v>KMF048017</v>
      </c>
      <c r="D1067" s="6" t="s">
        <v>7</v>
      </c>
      <c r="E1067" s="7" t="s">
        <v>322</v>
      </c>
    </row>
    <row r="1068" spans="1:5" x14ac:dyDescent="0.25">
      <c r="A1068" s="3">
        <v>1067</v>
      </c>
      <c r="B1068" s="3" t="str">
        <f>HYPERLINK("https://www.kmpharma.in/product/36474","N-Nitroso Finasteride EP Impurity C")</f>
        <v>N-Nitroso Finasteride EP Impurity C</v>
      </c>
      <c r="C1068" s="3" t="str">
        <f>HYPERLINK("https://www.kmpharma.in/product/36474","KMF048018")</f>
        <v>KMF048018</v>
      </c>
      <c r="D1068" s="3" t="s">
        <v>7</v>
      </c>
      <c r="E1068" s="5" t="s">
        <v>323</v>
      </c>
    </row>
    <row r="1069" spans="1:5" x14ac:dyDescent="0.25">
      <c r="A1069" s="6">
        <v>1068</v>
      </c>
      <c r="B1069" s="6" t="str">
        <f>HYPERLINK("https://www.kmpharma.in/product/36475","N-Nitroso Finasteride Impurity 1")</f>
        <v>N-Nitroso Finasteride Impurity 1</v>
      </c>
      <c r="C1069" s="6" t="str">
        <f>HYPERLINK("https://www.kmpharma.in/product/36475","KMF048019")</f>
        <v>KMF048019</v>
      </c>
      <c r="D1069" s="6" t="s">
        <v>7</v>
      </c>
      <c r="E1069" s="7" t="s">
        <v>322</v>
      </c>
    </row>
    <row r="1070" spans="1:5" x14ac:dyDescent="0.25">
      <c r="A1070" s="3">
        <v>1069</v>
      </c>
      <c r="B1070" s="3" t="str">
        <f>HYPERLINK("https://www.kmpharma.in/product/36476","N-Nitroso Finasteride Impurity 2")</f>
        <v>N-Nitroso Finasteride Impurity 2</v>
      </c>
      <c r="C1070" s="3" t="str">
        <f>HYPERLINK("https://www.kmpharma.in/product/36476","KMF048020")</f>
        <v>KMF048020</v>
      </c>
      <c r="D1070" s="3" t="s">
        <v>7</v>
      </c>
      <c r="E1070" s="5" t="s">
        <v>321</v>
      </c>
    </row>
    <row r="1071" spans="1:5" x14ac:dyDescent="0.25">
      <c r="A1071" s="6">
        <v>1070</v>
      </c>
      <c r="B1071" s="6" t="str">
        <f>HYPERLINK("https://www.kmpharma.in/product/36477","N-Nitroso Finasteride Impurity 3")</f>
        <v>N-Nitroso Finasteride Impurity 3</v>
      </c>
      <c r="C1071" s="6" t="str">
        <f>HYPERLINK("https://www.kmpharma.in/product/36477","KMF048021")</f>
        <v>KMF048021</v>
      </c>
      <c r="D1071" s="6" t="s">
        <v>7</v>
      </c>
      <c r="E1071" s="7" t="s">
        <v>321</v>
      </c>
    </row>
    <row r="1072" spans="1:5" x14ac:dyDescent="0.25">
      <c r="A1072" s="3">
        <v>1071</v>
      </c>
      <c r="B1072" s="3" t="str">
        <f>HYPERLINK("https://www.kmpharma.in/product/383","N-Nitroso Flecainide")</f>
        <v>N-Nitroso Flecainide</v>
      </c>
      <c r="C1072" s="3" t="str">
        <f>HYPERLINK("https://www.kmpharma.in/product/383","KMF010001")</f>
        <v>KMF010001</v>
      </c>
      <c r="D1072" s="3" t="s">
        <v>35</v>
      </c>
      <c r="E1072" s="5" t="s">
        <v>321</v>
      </c>
    </row>
    <row r="1073" spans="1:5" x14ac:dyDescent="0.25">
      <c r="A1073" s="6">
        <v>1072</v>
      </c>
      <c r="B1073" s="6" t="str">
        <f>HYPERLINK("https://www.kmpharma.in/product/36478","N-Nitroso Flecainide")</f>
        <v>N-Nitroso Flecainide</v>
      </c>
      <c r="C1073" s="6" t="str">
        <f>HYPERLINK("https://www.kmpharma.in/product/36478","KMF010022")</f>
        <v>KMF010022</v>
      </c>
      <c r="D1073" s="6" t="s">
        <v>137</v>
      </c>
      <c r="E1073" s="7" t="s">
        <v>323</v>
      </c>
    </row>
    <row r="1074" spans="1:5" x14ac:dyDescent="0.25">
      <c r="A1074" s="3">
        <v>1073</v>
      </c>
      <c r="B1074" s="3" t="str">
        <f>HYPERLINK("https://www.kmpharma.in/product/13727","N-Nitroso Flecainide EP Impurity B")</f>
        <v>N-Nitroso Flecainide EP Impurity B</v>
      </c>
      <c r="C1074" s="3" t="str">
        <f>HYPERLINK("https://www.kmpharma.in/product/13727","KMF010023")</f>
        <v>KMF010023</v>
      </c>
      <c r="D1074" s="3" t="s">
        <v>7</v>
      </c>
      <c r="E1074" s="5" t="s">
        <v>321</v>
      </c>
    </row>
    <row r="1075" spans="1:5" x14ac:dyDescent="0.25">
      <c r="A1075" s="6">
        <v>1074</v>
      </c>
      <c r="B1075" s="6" t="str">
        <f>HYPERLINK("https://www.kmpharma.in/product/13737","N-Nitroso Florbetaben-(18F)")</f>
        <v>N-Nitroso Florbetaben-(18F)</v>
      </c>
      <c r="C1075" s="6" t="str">
        <f>HYPERLINK("https://www.kmpharma.in/product/13737","KMF058002")</f>
        <v>KMF058002</v>
      </c>
      <c r="D1075" s="6" t="s">
        <v>7</v>
      </c>
      <c r="E1075" s="7" t="s">
        <v>322</v>
      </c>
    </row>
    <row r="1076" spans="1:5" x14ac:dyDescent="0.25">
      <c r="A1076" s="3">
        <v>1075</v>
      </c>
      <c r="B1076" s="3" t="str">
        <f>HYPERLINK("https://www.kmpharma.in/product/13739","N-Nitroso Florbetapir-(18F)")</f>
        <v>N-Nitroso Florbetapir-(18F)</v>
      </c>
      <c r="C1076" s="3" t="str">
        <f>HYPERLINK("https://www.kmpharma.in/product/13739","KMF059002")</f>
        <v>KMF059002</v>
      </c>
      <c r="D1076" s="3" t="s">
        <v>7</v>
      </c>
      <c r="E1076" s="5" t="s">
        <v>323</v>
      </c>
    </row>
    <row r="1077" spans="1:5" x14ac:dyDescent="0.25">
      <c r="A1077" s="6">
        <v>1076</v>
      </c>
      <c r="B1077" s="6" t="str">
        <f>HYPERLINK("https://www.kmpharma.in/product/14033","N-Nitroso Fluoxetine D3")</f>
        <v>N-Nitroso Fluoxetine D3</v>
      </c>
      <c r="C1077" s="6" t="str">
        <f>HYPERLINK("https://www.kmpharma.in/product/14033","KMF001039")</f>
        <v>KMF001039</v>
      </c>
      <c r="D1077" s="6" t="s">
        <v>7</v>
      </c>
      <c r="E1077" s="7" t="s">
        <v>321</v>
      </c>
    </row>
    <row r="1078" spans="1:5" x14ac:dyDescent="0.25">
      <c r="A1078" s="3">
        <v>1077</v>
      </c>
      <c r="B1078" s="3" t="str">
        <f>HYPERLINK("https://www.kmpharma.in/product/14099","N-Nitroso Flupirtine")</f>
        <v>N-Nitroso Flupirtine</v>
      </c>
      <c r="C1078" s="3" t="str">
        <f>HYPERLINK("https://www.kmpharma.in/product/14099","KMF007004")</f>
        <v>KMF007004</v>
      </c>
      <c r="D1078" s="3" t="s">
        <v>7</v>
      </c>
      <c r="E1078" s="5" t="s">
        <v>321</v>
      </c>
    </row>
    <row r="1079" spans="1:5" x14ac:dyDescent="0.25">
      <c r="A1079" s="6">
        <v>1078</v>
      </c>
      <c r="B1079" s="6" t="str">
        <f>HYPERLINK("https://www.kmpharma.in/product/14100","N-Nitroso Flupirtine Dimer Impurity  ")</f>
        <v>N-Nitroso Flupirtine Dimer Impurity  </v>
      </c>
      <c r="C1079" s="6" t="str">
        <f>HYPERLINK("https://www.kmpharma.in/product/14100","KMF007005")</f>
        <v>KMF007005</v>
      </c>
      <c r="D1079" s="6" t="s">
        <v>7</v>
      </c>
      <c r="E1079" s="7" t="s">
        <v>321</v>
      </c>
    </row>
    <row r="1080" spans="1:5" x14ac:dyDescent="0.25">
      <c r="A1080" s="3">
        <v>1079</v>
      </c>
      <c r="B1080" s="3" t="str">
        <f>HYPERLINK("https://www.kmpharma.in/product/14101","N-Nitroso Flupirtine Dimer Impurity 1  ")</f>
        <v>N-Nitroso Flupirtine Dimer Impurity 1  </v>
      </c>
      <c r="C1080" s="3" t="str">
        <f>HYPERLINK("https://www.kmpharma.in/product/14101","KMF007006")</f>
        <v>KMF007006</v>
      </c>
      <c r="D1080" s="3" t="s">
        <v>7</v>
      </c>
      <c r="E1080" s="5" t="s">
        <v>321</v>
      </c>
    </row>
    <row r="1081" spans="1:5" x14ac:dyDescent="0.25">
      <c r="A1081" s="6">
        <v>1080</v>
      </c>
      <c r="B1081" s="6" t="str">
        <f>HYPERLINK("https://www.kmpharma.in/product/14152","N-Nitroso Flutemetamol-(18F)")</f>
        <v>N-Nitroso Flutemetamol-(18F)</v>
      </c>
      <c r="C1081" s="6" t="str">
        <f>HYPERLINK("https://www.kmpharma.in/product/14152","KMF096002")</f>
        <v>KMF096002</v>
      </c>
      <c r="D1081" s="6" t="s">
        <v>7</v>
      </c>
      <c r="E1081" s="7" t="s">
        <v>321</v>
      </c>
    </row>
    <row r="1082" spans="1:5" x14ac:dyDescent="0.25">
      <c r="A1082" s="3">
        <v>1081</v>
      </c>
      <c r="B1082" s="3" t="str">
        <f>HYPERLINK("https://www.kmpharma.in/product/14306","N-Nitroso Fluvoxamine EP Impurity C")</f>
        <v>N-Nitroso Fluvoxamine EP Impurity C</v>
      </c>
      <c r="C1082" s="3" t="str">
        <f>HYPERLINK("https://www.kmpharma.in/product/14306","KMF100034")</f>
        <v>KMF100034</v>
      </c>
      <c r="D1082" s="3" t="s">
        <v>7</v>
      </c>
      <c r="E1082" s="3" t="s">
        <v>16</v>
      </c>
    </row>
    <row r="1083" spans="1:5" x14ac:dyDescent="0.25">
      <c r="A1083" s="6">
        <v>1082</v>
      </c>
      <c r="B1083" s="6" t="str">
        <f>HYPERLINK("https://www.kmpharma.in/product/14308","N-Nitroso Fluvoxamine EP Impurity F")</f>
        <v>N-Nitroso Fluvoxamine EP Impurity F</v>
      </c>
      <c r="C1083" s="6" t="str">
        <f>HYPERLINK("https://www.kmpharma.in/product/14308","KMF100035")</f>
        <v>KMF100035</v>
      </c>
      <c r="D1083" s="6" t="s">
        <v>7</v>
      </c>
      <c r="E1083" s="7" t="s">
        <v>321</v>
      </c>
    </row>
    <row r="1084" spans="1:5" x14ac:dyDescent="0.25">
      <c r="A1084" s="3">
        <v>1083</v>
      </c>
      <c r="B1084" s="3" t="str">
        <f>HYPERLINK("https://www.kmpharma.in/product/14349","N-Nitroso Folic Acid D4")</f>
        <v>N-Nitroso Folic Acid D4</v>
      </c>
      <c r="C1084" s="3" t="str">
        <f>HYPERLINK("https://www.kmpharma.in/product/14349","KMF006040")</f>
        <v>KMF006040</v>
      </c>
      <c r="D1084" s="3" t="s">
        <v>7</v>
      </c>
      <c r="E1084" s="5" t="s">
        <v>321</v>
      </c>
    </row>
    <row r="1085" spans="1:5" x14ac:dyDescent="0.25">
      <c r="A1085" s="6">
        <v>1084</v>
      </c>
      <c r="B1085" s="6" t="str">
        <f>HYPERLINK("https://www.kmpharma.in/product/14350","N-Nitroso Folic acid Impurity 1")</f>
        <v>N-Nitroso Folic acid Impurity 1</v>
      </c>
      <c r="C1085" s="6" t="str">
        <f>HYPERLINK("https://www.kmpharma.in/product/14350","KMF006041")</f>
        <v>KMF006041</v>
      </c>
      <c r="D1085" s="6" t="s">
        <v>138</v>
      </c>
      <c r="E1085" s="7" t="s">
        <v>321</v>
      </c>
    </row>
    <row r="1086" spans="1:5" x14ac:dyDescent="0.25">
      <c r="A1086" s="3">
        <v>1085</v>
      </c>
      <c r="B1086" s="3" t="str">
        <f>HYPERLINK("https://www.kmpharma.in/product/14342","N-Nitroso Folic acid Impurity 2")</f>
        <v>N-Nitroso Folic acid Impurity 2</v>
      </c>
      <c r="C1086" s="3" t="str">
        <f>HYPERLINK("https://www.kmpharma.in/product/14342","KMF006042")</f>
        <v>KMF006042</v>
      </c>
      <c r="D1086" s="3" t="s">
        <v>139</v>
      </c>
      <c r="E1086" s="5" t="s">
        <v>321</v>
      </c>
    </row>
    <row r="1087" spans="1:5" x14ac:dyDescent="0.25">
      <c r="A1087" s="6">
        <v>1086</v>
      </c>
      <c r="B1087" s="6" t="str">
        <f>HYPERLINK("https://www.kmpharma.in/product/14377","N-Nitroso Folinic Acid Impurity C")</f>
        <v>N-Nitroso Folinic Acid Impurity C</v>
      </c>
      <c r="C1087" s="6" t="str">
        <f>HYPERLINK("https://www.kmpharma.in/product/14377","KMF101032")</f>
        <v>KMF101032</v>
      </c>
      <c r="D1087" s="6" t="s">
        <v>138</v>
      </c>
      <c r="E1087" s="6" t="s">
        <v>16</v>
      </c>
    </row>
    <row r="1088" spans="1:5" x14ac:dyDescent="0.25">
      <c r="A1088" s="3">
        <v>1087</v>
      </c>
      <c r="B1088" s="3" t="str">
        <f>HYPERLINK("https://www.kmpharma.in/product/14458","N-Nitroso Formoterol")</f>
        <v>N-Nitroso Formoterol</v>
      </c>
      <c r="C1088" s="3" t="str">
        <f>HYPERLINK("https://www.kmpharma.in/product/14458","KMF104077")</f>
        <v>KMF104077</v>
      </c>
      <c r="D1088" s="3" t="s">
        <v>7</v>
      </c>
      <c r="E1088" s="5" t="s">
        <v>321</v>
      </c>
    </row>
    <row r="1089" spans="1:5" x14ac:dyDescent="0.25">
      <c r="A1089" s="6">
        <v>1088</v>
      </c>
      <c r="B1089" s="6" t="str">
        <f>HYPERLINK("https://www.kmpharma.in/product/14459","N-Nitroso Formoterol Amine")</f>
        <v>N-Nitroso Formoterol Amine</v>
      </c>
      <c r="C1089" s="6" t="str">
        <f>HYPERLINK("https://www.kmpharma.in/product/14459","KMF104078")</f>
        <v>KMF104078</v>
      </c>
      <c r="D1089" s="6" t="s">
        <v>7</v>
      </c>
      <c r="E1089" s="6" t="s">
        <v>16</v>
      </c>
    </row>
    <row r="1090" spans="1:5" x14ac:dyDescent="0.25">
      <c r="A1090" s="3">
        <v>1089</v>
      </c>
      <c r="B1090" s="3" t="str">
        <f>HYPERLINK("https://www.kmpharma.in/product/14542","N-Nitroso Fosdenopterin 1")</f>
        <v>N-Nitroso Fosdenopterin 1</v>
      </c>
      <c r="C1090" s="3" t="str">
        <f>HYPERLINK("https://www.kmpharma.in/product/14542","KMF107018")</f>
        <v>KMF107018</v>
      </c>
      <c r="D1090" s="3" t="s">
        <v>7</v>
      </c>
      <c r="E1090" s="3" t="s">
        <v>16</v>
      </c>
    </row>
    <row r="1091" spans="1:5" x14ac:dyDescent="0.25">
      <c r="A1091" s="6">
        <v>1090</v>
      </c>
      <c r="B1091" s="6" t="str">
        <f>HYPERLINK("https://www.kmpharma.in/product/14543","N-Nitroso Fosdenopterin 2")</f>
        <v>N-Nitroso Fosdenopterin 2</v>
      </c>
      <c r="C1091" s="6" t="str">
        <f>HYPERLINK("https://www.kmpharma.in/product/14543","KMF107019")</f>
        <v>KMF107019</v>
      </c>
      <c r="D1091" s="6" t="s">
        <v>7</v>
      </c>
      <c r="E1091" s="7" t="s">
        <v>321</v>
      </c>
    </row>
    <row r="1092" spans="1:5" x14ac:dyDescent="0.25">
      <c r="A1092" s="3">
        <v>1091</v>
      </c>
      <c r="B1092" s="3" t="str">
        <f>HYPERLINK("https://www.kmpharma.in/product/14727","N-Nitroso Furosemide EP Impurity A")</f>
        <v>N-Nitroso Furosemide EP Impurity A</v>
      </c>
      <c r="C1092" s="3" t="str">
        <f>HYPERLINK("https://www.kmpharma.in/product/14727","KMF002023")</f>
        <v>KMF002023</v>
      </c>
      <c r="D1092" s="3" t="s">
        <v>7</v>
      </c>
      <c r="E1092" s="5" t="s">
        <v>322</v>
      </c>
    </row>
    <row r="1093" spans="1:5" x14ac:dyDescent="0.25">
      <c r="A1093" s="6">
        <v>1092</v>
      </c>
      <c r="B1093" s="6" t="str">
        <f>HYPERLINK("https://www.kmpharma.in/product/14728","N-Nitroso Furosemide EP Impurity F")</f>
        <v>N-Nitroso Furosemide EP Impurity F</v>
      </c>
      <c r="C1093" s="6" t="str">
        <f>HYPERLINK("https://www.kmpharma.in/product/14728","KMF002024")</f>
        <v>KMF002024</v>
      </c>
      <c r="D1093" s="6" t="s">
        <v>7</v>
      </c>
      <c r="E1093" s="7" t="s">
        <v>321</v>
      </c>
    </row>
    <row r="1094" spans="1:5" x14ac:dyDescent="0.25">
      <c r="A1094" s="3">
        <v>1093</v>
      </c>
      <c r="B1094" s="3" t="str">
        <f>HYPERLINK("https://www.kmpharma.in/product/14837","N-Nitroso Gabapentin EP Impurity A")</f>
        <v>N-Nitroso Gabapentin EP Impurity A</v>
      </c>
      <c r="C1094" s="3" t="str">
        <f>HYPERLINK("https://www.kmpharma.in/product/14837","KMG002075")</f>
        <v>KMG002075</v>
      </c>
      <c r="D1094" s="3" t="s">
        <v>140</v>
      </c>
      <c r="E1094" s="5" t="s">
        <v>321</v>
      </c>
    </row>
    <row r="1095" spans="1:5" x14ac:dyDescent="0.25">
      <c r="A1095" s="6">
        <v>1094</v>
      </c>
      <c r="B1095" s="6" t="str">
        <f>HYPERLINK("https://www.kmpharma.in/product/14877","N-Nitroso Galantamine EP Impurity E")</f>
        <v>N-Nitroso Galantamine EP Impurity E</v>
      </c>
      <c r="C1095" s="6" t="str">
        <f>HYPERLINK("https://www.kmpharma.in/product/14877","KMG016014")</f>
        <v>KMG016014</v>
      </c>
      <c r="D1095" s="6" t="s">
        <v>7</v>
      </c>
      <c r="E1095" s="6" t="s">
        <v>16</v>
      </c>
    </row>
    <row r="1096" spans="1:5" x14ac:dyDescent="0.25">
      <c r="A1096" s="3">
        <v>1095</v>
      </c>
      <c r="B1096" s="3" t="str">
        <f>HYPERLINK("https://www.kmpharma.in/product/14947","N-Nitroso Ganirelix")</f>
        <v>N-Nitroso Ganirelix</v>
      </c>
      <c r="C1096" s="3" t="str">
        <f>HYPERLINK("https://www.kmpharma.in/product/14947","KMG020011")</f>
        <v>KMG020011</v>
      </c>
      <c r="D1096" s="3" t="s">
        <v>7</v>
      </c>
      <c r="E1096" s="3" t="s">
        <v>16</v>
      </c>
    </row>
    <row r="1097" spans="1:5" x14ac:dyDescent="0.25">
      <c r="A1097" s="6">
        <v>1096</v>
      </c>
      <c r="B1097" s="6" t="str">
        <f>HYPERLINK("https://www.kmpharma.in/product/36521","N-Nitroso Gatifloxacin Impurity 1")</f>
        <v>N-Nitroso Gatifloxacin Impurity 1</v>
      </c>
      <c r="C1097" s="6" t="str">
        <f>HYPERLINK("https://www.kmpharma.in/product/36521","KMG001034")</f>
        <v>KMG001034</v>
      </c>
      <c r="D1097" s="6" t="s">
        <v>7</v>
      </c>
      <c r="E1097" s="6" t="s">
        <v>16</v>
      </c>
    </row>
    <row r="1098" spans="1:5" x14ac:dyDescent="0.25">
      <c r="A1098" s="3">
        <v>1097</v>
      </c>
      <c r="B1098" s="3" t="str">
        <f>HYPERLINK("https://www.kmpharma.in/product/36519","N-Nitroso Gatifloxacin Impurity 2")</f>
        <v>N-Nitroso Gatifloxacin Impurity 2</v>
      </c>
      <c r="C1098" s="3" t="str">
        <f>HYPERLINK("https://www.kmpharma.in/product/36519","KMG001035")</f>
        <v>KMG001035</v>
      </c>
      <c r="D1098" s="3" t="s">
        <v>7</v>
      </c>
      <c r="E1098" s="3" t="s">
        <v>16</v>
      </c>
    </row>
    <row r="1099" spans="1:5" x14ac:dyDescent="0.25">
      <c r="A1099" s="6">
        <v>1098</v>
      </c>
      <c r="B1099" s="6" t="str">
        <f>HYPERLINK("https://www.kmpharma.in/product/15089","N-Nitroso Gentamicin-1")</f>
        <v>N-Nitroso Gentamicin-1</v>
      </c>
      <c r="C1099" s="6" t="str">
        <f>HYPERLINK("https://www.kmpharma.in/product/15089","KMG028027")</f>
        <v>KMG028027</v>
      </c>
      <c r="D1099" s="6" t="s">
        <v>7</v>
      </c>
      <c r="E1099" s="7" t="s">
        <v>321</v>
      </c>
    </row>
    <row r="1100" spans="1:5" x14ac:dyDescent="0.25">
      <c r="A1100" s="3">
        <v>1099</v>
      </c>
      <c r="B1100" s="3" t="str">
        <f>HYPERLINK("https://www.kmpharma.in/product/15087","N-Nitroso Gentamicin-2")</f>
        <v>N-Nitroso Gentamicin-2</v>
      </c>
      <c r="C1100" s="3" t="str">
        <f>HYPERLINK("https://www.kmpharma.in/product/15087","KMG028028")</f>
        <v>KMG028028</v>
      </c>
      <c r="D1100" s="3" t="s">
        <v>7</v>
      </c>
      <c r="E1100" s="3" t="s">
        <v>16</v>
      </c>
    </row>
    <row r="1101" spans="1:5" x14ac:dyDescent="0.25">
      <c r="A1101" s="6">
        <v>1100</v>
      </c>
      <c r="B1101" s="6" t="str">
        <f>HYPERLINK("https://www.kmpharma.in/product/15088","N-Nitroso Gentamicin-3")</f>
        <v>N-Nitroso Gentamicin-3</v>
      </c>
      <c r="C1101" s="6" t="str">
        <f>HYPERLINK("https://www.kmpharma.in/product/15088","KMG028029")</f>
        <v>KMG028029</v>
      </c>
      <c r="D1101" s="6" t="s">
        <v>7</v>
      </c>
      <c r="E1101" s="7" t="s">
        <v>323</v>
      </c>
    </row>
    <row r="1102" spans="1:5" x14ac:dyDescent="0.25">
      <c r="A1102" s="3">
        <v>1101</v>
      </c>
      <c r="B1102" s="3" t="str">
        <f>HYPERLINK("https://www.kmpharma.in/product/15254","N-Nitroso Glipizide")</f>
        <v>N-Nitroso Glipizide</v>
      </c>
      <c r="C1102" s="3" t="str">
        <f>HYPERLINK("https://www.kmpharma.in/product/15254","KMG043028")</f>
        <v>KMG043028</v>
      </c>
      <c r="D1102" s="3" t="s">
        <v>7</v>
      </c>
      <c r="E1102" s="5" t="s">
        <v>321</v>
      </c>
    </row>
    <row r="1103" spans="1:5" x14ac:dyDescent="0.25">
      <c r="A1103" s="6">
        <v>1102</v>
      </c>
      <c r="B1103" s="6" t="str">
        <f>HYPERLINK("https://www.kmpharma.in/product/15255","N-Nitroso Glipizide Impurity 3")</f>
        <v>N-Nitroso Glipizide Impurity 3</v>
      </c>
      <c r="C1103" s="6" t="str">
        <f>HYPERLINK("https://www.kmpharma.in/product/15255","KMG043029")</f>
        <v>KMG043029</v>
      </c>
      <c r="D1103" s="6" t="s">
        <v>7</v>
      </c>
      <c r="E1103" s="7" t="s">
        <v>321</v>
      </c>
    </row>
    <row r="1104" spans="1:5" x14ac:dyDescent="0.25">
      <c r="A1104" s="3">
        <v>1103</v>
      </c>
      <c r="B1104" s="3" t="str">
        <f>HYPERLINK("https://www.kmpharma.in/product/15256","N-Nitroso Glipizide Impurity 4")</f>
        <v>N-Nitroso Glipizide Impurity 4</v>
      </c>
      <c r="C1104" s="3" t="str">
        <f>HYPERLINK("https://www.kmpharma.in/product/15256","KMG043030")</f>
        <v>KMG043030</v>
      </c>
      <c r="D1104" s="3" t="s">
        <v>7</v>
      </c>
      <c r="E1104" s="5" t="s">
        <v>321</v>
      </c>
    </row>
    <row r="1105" spans="1:5" x14ac:dyDescent="0.25">
      <c r="A1105" s="6">
        <v>1104</v>
      </c>
      <c r="B1105" s="6" t="str">
        <f>HYPERLINK("https://www.kmpharma.in/product/15257","N-Nitroso Glipizide Impurity 5")</f>
        <v>N-Nitroso Glipizide Impurity 5</v>
      </c>
      <c r="C1105" s="6" t="str">
        <f>HYPERLINK("https://www.kmpharma.in/product/15257","KMG043031")</f>
        <v>KMG043031</v>
      </c>
      <c r="D1105" s="6" t="s">
        <v>7</v>
      </c>
      <c r="E1105" s="7" t="s">
        <v>321</v>
      </c>
    </row>
    <row r="1106" spans="1:5" x14ac:dyDescent="0.25">
      <c r="A1106" s="3">
        <v>1105</v>
      </c>
      <c r="B1106" s="3" t="str">
        <f>HYPERLINK("https://www.kmpharma.in/product/15258","N-Nitroso Glipizide Impurity 6")</f>
        <v>N-Nitroso Glipizide Impurity 6</v>
      </c>
      <c r="C1106" s="3" t="str">
        <f>HYPERLINK("https://www.kmpharma.in/product/15258","KMG043032")</f>
        <v>KMG043032</v>
      </c>
      <c r="D1106" s="3" t="s">
        <v>7</v>
      </c>
      <c r="E1106" s="5" t="s">
        <v>322</v>
      </c>
    </row>
    <row r="1107" spans="1:5" x14ac:dyDescent="0.25">
      <c r="A1107" s="6">
        <v>1106</v>
      </c>
      <c r="B1107" s="6" t="str">
        <f>HYPERLINK("https://www.kmpharma.in/product/15259","N-Nitroso Glipizide Impurity 7")</f>
        <v>N-Nitroso Glipizide Impurity 7</v>
      </c>
      <c r="C1107" s="6" t="str">
        <f>HYPERLINK("https://www.kmpharma.in/product/15259","KMG043033")</f>
        <v>KMG043033</v>
      </c>
      <c r="D1107" s="6" t="s">
        <v>7</v>
      </c>
      <c r="E1107" s="7" t="s">
        <v>322</v>
      </c>
    </row>
    <row r="1108" spans="1:5" x14ac:dyDescent="0.25">
      <c r="A1108" s="3">
        <v>1107</v>
      </c>
      <c r="B1108" s="3" t="str">
        <f>HYPERLINK("https://www.kmpharma.in/product/15282","N-Nitroso Glucagon")</f>
        <v>N-Nitroso Glucagon</v>
      </c>
      <c r="C1108" s="3" t="str">
        <f>HYPERLINK("https://www.kmpharma.in/product/15282","KMG044022")</f>
        <v>KMG044022</v>
      </c>
      <c r="D1108" s="3" t="s">
        <v>7</v>
      </c>
      <c r="E1108" s="3" t="s">
        <v>16</v>
      </c>
    </row>
    <row r="1109" spans="1:5" x14ac:dyDescent="0.25">
      <c r="A1109" s="6">
        <v>1108</v>
      </c>
      <c r="B1109" s="6" t="str">
        <f>HYPERLINK("https://www.kmpharma.in/product/15431","N-Nitroso Granisetron EP Impurity B")</f>
        <v>N-Nitroso Granisetron EP Impurity B</v>
      </c>
      <c r="C1109" s="6" t="str">
        <f>HYPERLINK("https://www.kmpharma.in/product/15431","KMG058019")</f>
        <v>KMG058019</v>
      </c>
      <c r="D1109" s="6" t="s">
        <v>7</v>
      </c>
      <c r="E1109" s="7" t="s">
        <v>321</v>
      </c>
    </row>
    <row r="1110" spans="1:5" x14ac:dyDescent="0.25">
      <c r="A1110" s="3">
        <v>1109</v>
      </c>
      <c r="B1110" s="3" t="str">
        <f>HYPERLINK("https://www.kmpharma.in/product/15428","N-Nitroso Granisetron EP Impurity C")</f>
        <v>N-Nitroso Granisetron EP Impurity C</v>
      </c>
      <c r="C1110" s="3" t="str">
        <f>HYPERLINK("https://www.kmpharma.in/product/15428","KMG058020")</f>
        <v>KMG058020</v>
      </c>
      <c r="D1110" s="3" t="s">
        <v>7</v>
      </c>
      <c r="E1110" s="5" t="s">
        <v>321</v>
      </c>
    </row>
    <row r="1111" spans="1:5" x14ac:dyDescent="0.25">
      <c r="A1111" s="6">
        <v>1110</v>
      </c>
      <c r="B1111" s="6" t="str">
        <f>HYPERLINK("https://www.kmpharma.in/product/15432","N-Nitroso Granisetron EP Impurity F")</f>
        <v>N-Nitroso Granisetron EP Impurity F</v>
      </c>
      <c r="C1111" s="6" t="str">
        <f>HYPERLINK("https://www.kmpharma.in/product/15432","KMG058021")</f>
        <v>KMG058021</v>
      </c>
      <c r="D1111" s="6" t="s">
        <v>7</v>
      </c>
      <c r="E1111" s="7" t="s">
        <v>321</v>
      </c>
    </row>
    <row r="1112" spans="1:5" x14ac:dyDescent="0.25">
      <c r="A1112" s="3">
        <v>1111</v>
      </c>
      <c r="B1112" s="3" t="str">
        <f>HYPERLINK("https://www.kmpharma.in/product/15480","N-Nitroso Guanine")</f>
        <v>N-Nitroso Guanine</v>
      </c>
      <c r="C1112" s="3" t="str">
        <f>HYPERLINK("https://www.kmpharma.in/product/15480","KMG064002")</f>
        <v>KMG064002</v>
      </c>
      <c r="D1112" s="3" t="s">
        <v>7</v>
      </c>
      <c r="E1112" s="5" t="s">
        <v>321</v>
      </c>
    </row>
    <row r="1113" spans="1:5" x14ac:dyDescent="0.25">
      <c r="A1113" s="6">
        <v>1112</v>
      </c>
      <c r="B1113" s="6" t="str">
        <f>HYPERLINK("https://www.kmpharma.in/product/15637","N-Nitroso Hexetidine EP Impurity A")</f>
        <v>N-Nitroso Hexetidine EP Impurity A</v>
      </c>
      <c r="C1113" s="6" t="str">
        <f>HYPERLINK("https://www.kmpharma.in/product/15637","KMH023008")</f>
        <v>KMH023008</v>
      </c>
      <c r="D1113" s="6" t="s">
        <v>7</v>
      </c>
      <c r="E1113" s="7" t="s">
        <v>321</v>
      </c>
    </row>
    <row r="1114" spans="1:5" x14ac:dyDescent="0.25">
      <c r="A1114" s="3">
        <v>1113</v>
      </c>
      <c r="B1114" s="3" t="str">
        <f>HYPERLINK("https://www.kmpharma.in/product/15638","N-Nitroso Hexetidine EP Impurity B")</f>
        <v>N-Nitroso Hexetidine EP Impurity B</v>
      </c>
      <c r="C1114" s="3" t="str">
        <f>HYPERLINK("https://www.kmpharma.in/product/15638","KMH023009")</f>
        <v>KMH023009</v>
      </c>
      <c r="D1114" s="3" t="s">
        <v>7</v>
      </c>
      <c r="E1114" s="5" t="s">
        <v>321</v>
      </c>
    </row>
    <row r="1115" spans="1:5" x14ac:dyDescent="0.25">
      <c r="A1115" s="6">
        <v>1114</v>
      </c>
      <c r="B1115" s="6" t="str">
        <f>HYPERLINK("https://www.kmpharma.in/product/454","N-Nitroso Hydrochlorothiazide")</f>
        <v>N-Nitroso Hydrochlorothiazide</v>
      </c>
      <c r="C1115" s="6" t="str">
        <f>HYPERLINK("https://www.kmpharma.in/product/454","KMH003001")</f>
        <v>KMH003001</v>
      </c>
      <c r="D1115" s="6" t="s">
        <v>141</v>
      </c>
      <c r="E1115" s="7" t="s">
        <v>321</v>
      </c>
    </row>
    <row r="1116" spans="1:5" x14ac:dyDescent="0.25">
      <c r="A1116" s="3">
        <v>1115</v>
      </c>
      <c r="B1116" s="3" t="str">
        <f>HYPERLINK("https://www.kmpharma.in/product/36534","N-Nitroso Hydrochlorothiazide")</f>
        <v>N-Nitroso Hydrochlorothiazide</v>
      </c>
      <c r="C1116" s="3" t="str">
        <f>HYPERLINK("https://www.kmpharma.in/product/36534","KMH003050")</f>
        <v>KMH003050</v>
      </c>
      <c r="D1116" s="3" t="s">
        <v>141</v>
      </c>
      <c r="E1116" s="5" t="s">
        <v>321</v>
      </c>
    </row>
    <row r="1117" spans="1:5" x14ac:dyDescent="0.25">
      <c r="A1117" s="6">
        <v>1116</v>
      </c>
      <c r="B1117" s="6" t="str">
        <f>HYPERLINK("https://www.kmpharma.in/product/15724","N-Nitroso Hydrochlorothiazide D2")</f>
        <v>N-Nitroso Hydrochlorothiazide D2</v>
      </c>
      <c r="C1117" s="6" t="str">
        <f>HYPERLINK("https://www.kmpharma.in/product/15724","KMH003051")</f>
        <v>KMH003051</v>
      </c>
      <c r="D1117" s="6" t="s">
        <v>7</v>
      </c>
      <c r="E1117" s="7" t="s">
        <v>323</v>
      </c>
    </row>
    <row r="1118" spans="1:5" x14ac:dyDescent="0.25">
      <c r="A1118" s="3">
        <v>1117</v>
      </c>
      <c r="B1118" s="3" t="str">
        <f>HYPERLINK("https://www.kmpharma.in/product/15735","N-Nitroso Hydrochlorothiazide EP Impurity C")</f>
        <v>N-Nitroso Hydrochlorothiazide EP Impurity C</v>
      </c>
      <c r="C1118" s="3" t="str">
        <f>HYPERLINK("https://www.kmpharma.in/product/15735","KMH003052")</f>
        <v>KMH003052</v>
      </c>
      <c r="D1118" s="3" t="s">
        <v>7</v>
      </c>
      <c r="E1118" s="5" t="s">
        <v>321</v>
      </c>
    </row>
    <row r="1119" spans="1:5" x14ac:dyDescent="0.25">
      <c r="A1119" s="6">
        <v>1118</v>
      </c>
      <c r="B1119" s="6" t="str">
        <f>HYPERLINK("https://www.kmpharma.in/product/15725","N-Nitroso Hydrochlorothiazide-13C")</f>
        <v>N-Nitroso Hydrochlorothiazide-13C</v>
      </c>
      <c r="C1119" s="6" t="str">
        <f>HYPERLINK("https://www.kmpharma.in/product/15725","KMH003053")</f>
        <v>KMH003053</v>
      </c>
      <c r="D1119" s="6" t="s">
        <v>7</v>
      </c>
      <c r="E1119" s="7" t="s">
        <v>321</v>
      </c>
    </row>
    <row r="1120" spans="1:5" x14ac:dyDescent="0.25">
      <c r="A1120" s="3">
        <v>1119</v>
      </c>
      <c r="B1120" s="3" t="str">
        <f>HYPERLINK("https://www.kmpharma.in/product/15953","N-Nitroso Hydroxychloroquine EP Impurity C")</f>
        <v>N-Nitroso Hydroxychloroquine EP Impurity C</v>
      </c>
      <c r="C1120" s="3" t="str">
        <f>HYPERLINK("https://www.kmpharma.in/product/15953","KMH004062")</f>
        <v>KMH004062</v>
      </c>
      <c r="D1120" s="3" t="s">
        <v>7</v>
      </c>
      <c r="E1120" s="5" t="s">
        <v>323</v>
      </c>
    </row>
    <row r="1121" spans="1:5" x14ac:dyDescent="0.25">
      <c r="A1121" s="6">
        <v>1120</v>
      </c>
      <c r="B1121" s="6" t="str">
        <f>HYPERLINK("https://www.kmpharma.in/product/15978","N-Nitroso Hydroxyzine EP Impurity A")</f>
        <v>N-Nitroso Hydroxyzine EP Impurity A</v>
      </c>
      <c r="C1121" s="6" t="str">
        <f>HYPERLINK("https://www.kmpharma.in/product/15978","KMH006025")</f>
        <v>KMH006025</v>
      </c>
      <c r="D1121" s="6" t="s">
        <v>142</v>
      </c>
      <c r="E1121" s="7" t="s">
        <v>321</v>
      </c>
    </row>
    <row r="1122" spans="1:5" x14ac:dyDescent="0.25">
      <c r="A1122" s="3">
        <v>1121</v>
      </c>
      <c r="B1122" s="3" t="str">
        <f>HYPERLINK("https://www.kmpharma.in/product/16009","N-Nitroso Hyoscine Hydrobromide EP impurity B")</f>
        <v>N-Nitroso Hyoscine Hydrobromide EP impurity B</v>
      </c>
      <c r="C1122" s="3" t="str">
        <f>HYPERLINK("https://www.kmpharma.in/product/16009","KMH040006")</f>
        <v>KMH040006</v>
      </c>
      <c r="D1122" s="3" t="s">
        <v>7</v>
      </c>
      <c r="E1122" s="5" t="s">
        <v>321</v>
      </c>
    </row>
    <row r="1123" spans="1:5" x14ac:dyDescent="0.25">
      <c r="A1123" s="6">
        <v>1122</v>
      </c>
      <c r="B1123" s="6" t="str">
        <f>HYPERLINK("https://www.kmpharma.in/product/16108","N-Nitroso Ibrutinib Impurity 1")</f>
        <v>N-Nitroso Ibrutinib Impurity 1</v>
      </c>
      <c r="C1123" s="6" t="str">
        <f>HYPERLINK("https://www.kmpharma.in/product/16108","KMI017088")</f>
        <v>KMI017088</v>
      </c>
      <c r="D1123" s="6" t="s">
        <v>143</v>
      </c>
      <c r="E1123" s="7" t="s">
        <v>323</v>
      </c>
    </row>
    <row r="1124" spans="1:5" x14ac:dyDescent="0.25">
      <c r="A1124" s="3">
        <v>1123</v>
      </c>
      <c r="B1124" s="3" t="str">
        <f>HYPERLINK("https://www.kmpharma.in/product/16107","N-Nitroso Ibrutinib Impurity 2")</f>
        <v>N-Nitroso Ibrutinib Impurity 2</v>
      </c>
      <c r="C1124" s="3" t="str">
        <f>HYPERLINK("https://www.kmpharma.in/product/16107","KMI017089")</f>
        <v>KMI017089</v>
      </c>
      <c r="D1124" s="3" t="s">
        <v>35</v>
      </c>
      <c r="E1124" s="3" t="s">
        <v>16</v>
      </c>
    </row>
    <row r="1125" spans="1:5" x14ac:dyDescent="0.25">
      <c r="A1125" s="6">
        <v>1124</v>
      </c>
      <c r="B1125" s="6" t="str">
        <f>HYPERLINK("https://www.kmpharma.in/product/16394","N-Nitroso Imatinib D3")</f>
        <v>N-Nitroso Imatinib D3</v>
      </c>
      <c r="C1125" s="6" t="str">
        <f>HYPERLINK("https://www.kmpharma.in/product/16394","KMI004063")</f>
        <v>KMI004063</v>
      </c>
      <c r="D1125" s="6" t="s">
        <v>7</v>
      </c>
      <c r="E1125" s="7" t="s">
        <v>321</v>
      </c>
    </row>
    <row r="1126" spans="1:5" x14ac:dyDescent="0.25">
      <c r="A1126" s="3">
        <v>1125</v>
      </c>
      <c r="B1126" s="3" t="str">
        <f>HYPERLINK("https://www.kmpharma.in/product/16398","N-Nitroso Imatinib EP Impurity C (Possibility 1)")</f>
        <v>N-Nitroso Imatinib EP Impurity C (Possibility 1)</v>
      </c>
      <c r="C1126" s="3" t="str">
        <f>HYPERLINK("https://www.kmpharma.in/product/16398","KMI004064")</f>
        <v>KMI004064</v>
      </c>
      <c r="D1126" s="3" t="s">
        <v>7</v>
      </c>
      <c r="E1126" s="5" t="s">
        <v>322</v>
      </c>
    </row>
    <row r="1127" spans="1:5" x14ac:dyDescent="0.25">
      <c r="A1127" s="6">
        <v>1126</v>
      </c>
      <c r="B1127" s="6" t="str">
        <f>HYPERLINK("https://www.kmpharma.in/product/16395","N-Nitroso Imatinib EP Impurity C (Possibility 2)")</f>
        <v>N-Nitroso Imatinib EP Impurity C (Possibility 2)</v>
      </c>
      <c r="C1127" s="6" t="str">
        <f>HYPERLINK("https://www.kmpharma.in/product/16395","KMI004065")</f>
        <v>KMI004065</v>
      </c>
      <c r="D1127" s="6" t="s">
        <v>144</v>
      </c>
      <c r="E1127" s="7" t="s">
        <v>323</v>
      </c>
    </row>
    <row r="1128" spans="1:5" x14ac:dyDescent="0.25">
      <c r="A1128" s="3">
        <v>1127</v>
      </c>
      <c r="B1128" s="3" t="str">
        <f>HYPERLINK("https://www.kmpharma.in/product/16399","N-Nitroso Imatinib EP Impurity F")</f>
        <v>N-Nitroso Imatinib EP Impurity F</v>
      </c>
      <c r="C1128" s="3" t="str">
        <f>HYPERLINK("https://www.kmpharma.in/product/16399","KMI004066")</f>
        <v>KMI004066</v>
      </c>
      <c r="D1128" s="3" t="s">
        <v>7</v>
      </c>
      <c r="E1128" s="3" t="s">
        <v>16</v>
      </c>
    </row>
    <row r="1129" spans="1:5" x14ac:dyDescent="0.25">
      <c r="A1129" s="6">
        <v>1128</v>
      </c>
      <c r="B1129" s="6" t="str">
        <f>HYPERLINK("https://www.kmpharma.in/product/36561","N-Nitroso Imeglimin")</f>
        <v>N-Nitroso Imeglimin</v>
      </c>
      <c r="C1129" s="6" t="str">
        <f>HYPERLINK("https://www.kmpharma.in/product/36561","KMI028007")</f>
        <v>KMI028007</v>
      </c>
      <c r="D1129" s="6" t="s">
        <v>7</v>
      </c>
      <c r="E1129" s="6" t="s">
        <v>16</v>
      </c>
    </row>
    <row r="1130" spans="1:5" x14ac:dyDescent="0.25">
      <c r="A1130" s="3">
        <v>1129</v>
      </c>
      <c r="B1130" s="3" t="str">
        <f>HYPERLINK("https://www.kmpharma.in/product/36562","N-Nitroso Imeglimin S-Isomer")</f>
        <v>N-Nitroso Imeglimin S-Isomer</v>
      </c>
      <c r="C1130" s="3" t="str">
        <f>HYPERLINK("https://www.kmpharma.in/product/36562","KMI028008")</f>
        <v>KMI028008</v>
      </c>
      <c r="D1130" s="3" t="s">
        <v>7</v>
      </c>
      <c r="E1130" s="5" t="s">
        <v>321</v>
      </c>
    </row>
    <row r="1131" spans="1:5" x14ac:dyDescent="0.25">
      <c r="A1131" s="6">
        <v>1130</v>
      </c>
      <c r="B1131" s="6" t="str">
        <f>HYPERLINK("https://www.kmpharma.in/product/16411","N-Nitroso Imidapril")</f>
        <v>N-Nitroso Imidapril</v>
      </c>
      <c r="C1131" s="6" t="str">
        <f>HYPERLINK("https://www.kmpharma.in/product/16411","KMI030004")</f>
        <v>KMI030004</v>
      </c>
      <c r="D1131" s="6" t="s">
        <v>7</v>
      </c>
      <c r="E1131" s="7" t="s">
        <v>321</v>
      </c>
    </row>
    <row r="1132" spans="1:5" x14ac:dyDescent="0.25">
      <c r="A1132" s="3">
        <v>1131</v>
      </c>
      <c r="B1132" s="3" t="str">
        <f>HYPERLINK("https://www.kmpharma.in/product/23640","N-Nitroso Imidazole Ester Olmesartan")</f>
        <v>N-Nitroso Imidazole Ester Olmesartan</v>
      </c>
      <c r="C1132" s="3" t="str">
        <f>HYPERLINK("https://www.kmpharma.in/product/23640","KMO006001")</f>
        <v>KMO006001</v>
      </c>
      <c r="D1132" s="3" t="s">
        <v>7</v>
      </c>
      <c r="E1132" s="5" t="s">
        <v>323</v>
      </c>
    </row>
    <row r="1133" spans="1:5" x14ac:dyDescent="0.25">
      <c r="A1133" s="6">
        <v>1132</v>
      </c>
      <c r="B1133" s="6" t="str">
        <f>HYPERLINK("https://www.kmpharma.in/product/16420","N-Nitroso Iminostilbene ")</f>
        <v>N-Nitroso Iminostilbene </v>
      </c>
      <c r="C1133" s="6" t="str">
        <f>HYPERLINK("https://www.kmpharma.in/product/16420","KMI032005")</f>
        <v>KMI032005</v>
      </c>
      <c r="D1133" s="6" t="s">
        <v>102</v>
      </c>
      <c r="E1133" s="6" t="s">
        <v>16</v>
      </c>
    </row>
    <row r="1134" spans="1:5" x14ac:dyDescent="0.25">
      <c r="A1134" s="3">
        <v>1133</v>
      </c>
      <c r="B1134" s="3" t="str">
        <f>HYPERLINK("https://www.kmpharma.in/product/36616","N-Nitroso Indacaterol Mono Ethyl Impurity")</f>
        <v>N-Nitroso Indacaterol Mono Ethyl Impurity</v>
      </c>
      <c r="C1134" s="3" t="str">
        <f>HYPERLINK("https://www.kmpharma.in/product/36616","KMI035052")</f>
        <v>KMI035052</v>
      </c>
      <c r="D1134" s="3" t="s">
        <v>7</v>
      </c>
      <c r="E1134" s="3" t="s">
        <v>16</v>
      </c>
    </row>
    <row r="1135" spans="1:5" x14ac:dyDescent="0.25">
      <c r="A1135" s="6">
        <v>1134</v>
      </c>
      <c r="B1135" s="6" t="str">
        <f>HYPERLINK("https://www.kmpharma.in/product/16490","N-Nitroso Indigo carmine")</f>
        <v>N-Nitroso Indigo carmine</v>
      </c>
      <c r="C1135" s="6" t="str">
        <f>HYPERLINK("https://www.kmpharma.in/product/16490","KMI037007")</f>
        <v>KMI037007</v>
      </c>
      <c r="D1135" s="6" t="s">
        <v>7</v>
      </c>
      <c r="E1135" s="7" t="s">
        <v>321</v>
      </c>
    </row>
    <row r="1136" spans="1:5" x14ac:dyDescent="0.25">
      <c r="A1136" s="3">
        <v>1135</v>
      </c>
      <c r="B1136" s="3" t="str">
        <f>HYPERLINK("https://www.kmpharma.in/product/16533","N-Nitroso Indomethacin EP Impurity B")</f>
        <v>N-Nitroso Indomethacin EP Impurity B</v>
      </c>
      <c r="C1136" s="3" t="str">
        <f>HYPERLINK("https://www.kmpharma.in/product/16533","KMI008033")</f>
        <v>KMI008033</v>
      </c>
      <c r="D1136" s="3" t="s">
        <v>7</v>
      </c>
      <c r="E1136" s="5" t="s">
        <v>321</v>
      </c>
    </row>
    <row r="1137" spans="1:5" x14ac:dyDescent="0.25">
      <c r="A1137" s="6">
        <v>1136</v>
      </c>
      <c r="B1137" s="6" t="str">
        <f>HYPERLINK("https://www.kmpharma.in/product/16646","N-Nitroso Iptacopan")</f>
        <v>N-Nitroso Iptacopan</v>
      </c>
      <c r="C1137" s="6" t="str">
        <f>HYPERLINK("https://www.kmpharma.in/product/16646","KMI055008")</f>
        <v>KMI055008</v>
      </c>
      <c r="D1137" s="6" t="s">
        <v>7</v>
      </c>
      <c r="E1137" s="7" t="s">
        <v>321</v>
      </c>
    </row>
    <row r="1138" spans="1:5" x14ac:dyDescent="0.25">
      <c r="A1138" s="3">
        <v>1137</v>
      </c>
      <c r="B1138" s="3" t="str">
        <f>HYPERLINK("https://www.kmpharma.in/product/16813","N-Nitroso Isavuconazonium Sulfate")</f>
        <v>N-Nitroso Isavuconazonium Sulfate</v>
      </c>
      <c r="C1138" s="3" t="str">
        <f>HYPERLINK("https://www.kmpharma.in/product/16813","KMI058069")</f>
        <v>KMI058069</v>
      </c>
      <c r="D1138" s="3" t="s">
        <v>7</v>
      </c>
      <c r="E1138" s="5" t="s">
        <v>321</v>
      </c>
    </row>
    <row r="1139" spans="1:5" x14ac:dyDescent="0.25">
      <c r="A1139" s="6">
        <v>1138</v>
      </c>
      <c r="B1139" s="6" t="str">
        <f>HYPERLINK("https://www.kmpharma.in/product/8680","N-Nitroso Isocyclosporin A")</f>
        <v>N-Nitroso Isocyclosporin A</v>
      </c>
      <c r="C1139" s="6" t="str">
        <f>HYPERLINK("https://www.kmpharma.in/product/8680","KMC246025")</f>
        <v>KMC246025</v>
      </c>
      <c r="D1139" s="6" t="s">
        <v>7</v>
      </c>
      <c r="E1139" s="7" t="s">
        <v>321</v>
      </c>
    </row>
    <row r="1140" spans="1:5" x14ac:dyDescent="0.25">
      <c r="A1140" s="3">
        <v>1139</v>
      </c>
      <c r="B1140" s="3" t="str">
        <f>HYPERLINK("https://www.kmpharma.in/product/408","N-Nitroso Isoproterenol")</f>
        <v>N-Nitroso Isoproterenol</v>
      </c>
      <c r="C1140" s="3" t="str">
        <f>HYPERLINK("https://www.kmpharma.in/product/408","KMI005001")</f>
        <v>KMI005001</v>
      </c>
      <c r="D1140" s="3" t="s">
        <v>35</v>
      </c>
      <c r="E1140" s="3" t="s">
        <v>16</v>
      </c>
    </row>
    <row r="1141" spans="1:5" x14ac:dyDescent="0.25">
      <c r="A1141" s="6">
        <v>1140</v>
      </c>
      <c r="B1141" s="6" t="str">
        <f>HYPERLINK("https://www.kmpharma.in/product/36618","N-Nitroso Isoproterenol")</f>
        <v>N-Nitroso Isoproterenol</v>
      </c>
      <c r="C1141" s="6" t="str">
        <f>HYPERLINK("https://www.kmpharma.in/product/36618","KMI005019")</f>
        <v>KMI005019</v>
      </c>
      <c r="D1141" s="6" t="s">
        <v>7</v>
      </c>
      <c r="E1141" s="7" t="s">
        <v>321</v>
      </c>
    </row>
    <row r="1142" spans="1:5" x14ac:dyDescent="0.25">
      <c r="A1142" s="3">
        <v>1141</v>
      </c>
      <c r="B1142" s="3" t="str">
        <f>HYPERLINK("https://www.kmpharma.in/product/16973","N-Nitroso Isradipine")</f>
        <v>N-Nitroso Isradipine</v>
      </c>
      <c r="C1142" s="3" t="str">
        <f>HYPERLINK("https://www.kmpharma.in/product/16973","KMI076007")</f>
        <v>KMI076007</v>
      </c>
      <c r="D1142" s="3" t="s">
        <v>7</v>
      </c>
      <c r="E1142" s="3" t="s">
        <v>16</v>
      </c>
    </row>
    <row r="1143" spans="1:5" x14ac:dyDescent="0.25">
      <c r="A1143" s="6">
        <v>1142</v>
      </c>
      <c r="B1143" s="6" t="str">
        <f>HYPERLINK("https://www.kmpharma.in/product/17036","N-Nitroso Itraconazole Impurity 1")</f>
        <v>N-Nitroso Itraconazole Impurity 1</v>
      </c>
      <c r="C1143" s="6" t="str">
        <f>HYPERLINK("https://www.kmpharma.in/product/17036","KMI013062")</f>
        <v>KMI013062</v>
      </c>
      <c r="D1143" s="6" t="s">
        <v>145</v>
      </c>
      <c r="E1143" s="7" t="s">
        <v>323</v>
      </c>
    </row>
    <row r="1144" spans="1:5" x14ac:dyDescent="0.25">
      <c r="A1144" s="3">
        <v>1143</v>
      </c>
      <c r="B1144" s="3" t="str">
        <f>HYPERLINK("https://www.kmpharma.in/product/17037","N-Nitroso Itraconazole Impurity 2")</f>
        <v>N-Nitroso Itraconazole Impurity 2</v>
      </c>
      <c r="C1144" s="3" t="str">
        <f>HYPERLINK("https://www.kmpharma.in/product/17037","KMI013063")</f>
        <v>KMI013063</v>
      </c>
      <c r="D1144" s="3" t="s">
        <v>7</v>
      </c>
      <c r="E1144" s="3" t="s">
        <v>16</v>
      </c>
    </row>
    <row r="1145" spans="1:5" x14ac:dyDescent="0.25">
      <c r="A1145" s="6">
        <v>1144</v>
      </c>
      <c r="B1145" s="6" t="str">
        <f>HYPERLINK("https://www.kmpharma.in/product/36677","N-Nitroso Ivacaftor Ortho Isomer")</f>
        <v>N-Nitroso Ivacaftor Ortho Isomer</v>
      </c>
      <c r="C1145" s="6" t="str">
        <f>HYPERLINK("https://www.kmpharma.in/product/36677","KMI006041")</f>
        <v>KMI006041</v>
      </c>
      <c r="D1145" s="6" t="s">
        <v>7</v>
      </c>
      <c r="E1145" s="7" t="s">
        <v>321</v>
      </c>
    </row>
    <row r="1146" spans="1:5" x14ac:dyDescent="0.25">
      <c r="A1146" s="3">
        <v>1145</v>
      </c>
      <c r="B1146" s="3" t="str">
        <f>HYPERLINK("https://www.kmpharma.in/product/17237","N-Nitroso Ketamine")</f>
        <v>N-Nitroso Ketamine</v>
      </c>
      <c r="C1146" s="3" t="str">
        <f>HYPERLINK("https://www.kmpharma.in/product/17237","KMK004016")</f>
        <v>KMK004016</v>
      </c>
      <c r="D1146" s="3" t="s">
        <v>146</v>
      </c>
      <c r="E1146" s="5" t="s">
        <v>321</v>
      </c>
    </row>
    <row r="1147" spans="1:5" x14ac:dyDescent="0.25">
      <c r="A1147" s="6">
        <v>1146</v>
      </c>
      <c r="B1147" s="6" t="str">
        <f>HYPERLINK("https://www.kmpharma.in/product/17238","N-Nitroso Ketamine (R-Isomer)")</f>
        <v>N-Nitroso Ketamine (R-Isomer)</v>
      </c>
      <c r="C1147" s="6" t="str">
        <f>HYPERLINK("https://www.kmpharma.in/product/17238","KMK004017")</f>
        <v>KMK004017</v>
      </c>
      <c r="D1147" s="6" t="s">
        <v>7</v>
      </c>
      <c r="E1147" s="7" t="s">
        <v>323</v>
      </c>
    </row>
    <row r="1148" spans="1:5" x14ac:dyDescent="0.25">
      <c r="A1148" s="3">
        <v>1147</v>
      </c>
      <c r="B1148" s="3" t="str">
        <f>HYPERLINK("https://www.kmpharma.in/product/17239","N-Nitroso Ketamine (S-Isomer)")</f>
        <v>N-Nitroso Ketamine (S-Isomer)</v>
      </c>
      <c r="C1148" s="3" t="str">
        <f>HYPERLINK("https://www.kmpharma.in/product/17239","KMK004018")</f>
        <v>KMK004018</v>
      </c>
      <c r="D1148" s="3" t="s">
        <v>7</v>
      </c>
      <c r="E1148" s="5" t="s">
        <v>323</v>
      </c>
    </row>
    <row r="1149" spans="1:5" x14ac:dyDescent="0.25">
      <c r="A1149" s="6">
        <v>1148</v>
      </c>
      <c r="B1149" s="6" t="str">
        <f>HYPERLINK("https://www.kmpharma.in/product/2472","N-nitroso L-Arginine")</f>
        <v>N-nitroso L-Arginine</v>
      </c>
      <c r="C1149" s="6" t="str">
        <f>HYPERLINK("https://www.kmpharma.in/product/2472","KMA166013")</f>
        <v>KMA166013</v>
      </c>
      <c r="D1149" s="6" t="s">
        <v>147</v>
      </c>
      <c r="E1149" s="7" t="s">
        <v>321</v>
      </c>
    </row>
    <row r="1150" spans="1:5" x14ac:dyDescent="0.25">
      <c r="A1150" s="3">
        <v>1149</v>
      </c>
      <c r="B1150" s="3" t="str">
        <f>HYPERLINK("https://www.kmpharma.in/product/165","N-Nitroso Labetalol")</f>
        <v>N-Nitroso Labetalol</v>
      </c>
      <c r="C1150" s="3" t="str">
        <f>HYPERLINK("https://www.kmpharma.in/product/165","KML004001")</f>
        <v>KML004001</v>
      </c>
      <c r="D1150" s="3" t="s">
        <v>148</v>
      </c>
      <c r="E1150" s="5" t="s">
        <v>321</v>
      </c>
    </row>
    <row r="1151" spans="1:5" x14ac:dyDescent="0.25">
      <c r="A1151" s="6">
        <v>1150</v>
      </c>
      <c r="B1151" s="6" t="str">
        <f>HYPERLINK("https://www.kmpharma.in/product/36681","N-Nitroso Labetalol")</f>
        <v>N-Nitroso Labetalol</v>
      </c>
      <c r="C1151" s="6" t="str">
        <f>HYPERLINK("https://www.kmpharma.in/product/36681","KML004040")</f>
        <v>KML004040</v>
      </c>
      <c r="D1151" s="6" t="s">
        <v>148</v>
      </c>
      <c r="E1151" s="7" t="s">
        <v>321</v>
      </c>
    </row>
    <row r="1152" spans="1:5" x14ac:dyDescent="0.25">
      <c r="A1152" s="3">
        <v>1151</v>
      </c>
      <c r="B1152" s="3" t="str">
        <f>HYPERLINK("https://www.kmpharma.in/product/17642","N-Nitroso Landiolol ")</f>
        <v>N-Nitroso Landiolol </v>
      </c>
      <c r="C1152" s="3" t="str">
        <f>HYPERLINK("https://www.kmpharma.in/product/17642","KML038003")</f>
        <v>KML038003</v>
      </c>
      <c r="D1152" s="3" t="s">
        <v>7</v>
      </c>
      <c r="E1152" s="5" t="s">
        <v>321</v>
      </c>
    </row>
    <row r="1153" spans="1:5" x14ac:dyDescent="0.25">
      <c r="A1153" s="6">
        <v>1152</v>
      </c>
      <c r="B1153" s="6" t="str">
        <f>HYPERLINK("https://www.kmpharma.in/product/17646","N-Nitroso Laninamivir")</f>
        <v>N-Nitroso Laninamivir</v>
      </c>
      <c r="C1153" s="6" t="str">
        <f>HYPERLINK("https://www.kmpharma.in/product/17646","KML039004")</f>
        <v>KML039004</v>
      </c>
      <c r="D1153" s="6" t="s">
        <v>7</v>
      </c>
      <c r="E1153" s="7" t="s">
        <v>321</v>
      </c>
    </row>
    <row r="1154" spans="1:5" x14ac:dyDescent="0.25">
      <c r="A1154" s="3">
        <v>1153</v>
      </c>
      <c r="B1154" s="3" t="str">
        <f>HYPERLINK("https://www.kmpharma.in/product/17647","N-Nitroso Laninamivir Impurity 1")</f>
        <v>N-Nitroso Laninamivir Impurity 1</v>
      </c>
      <c r="C1154" s="3" t="str">
        <f>HYPERLINK("https://www.kmpharma.in/product/17647","KML039005")</f>
        <v>KML039005</v>
      </c>
      <c r="D1154" s="3" t="s">
        <v>7</v>
      </c>
      <c r="E1154" s="5" t="s">
        <v>322</v>
      </c>
    </row>
    <row r="1155" spans="1:5" x14ac:dyDescent="0.25">
      <c r="A1155" s="6">
        <v>1154</v>
      </c>
      <c r="B1155" s="6" t="str">
        <f>HYPERLINK("https://www.kmpharma.in/product/17667","N-Nitroso Lanreotide")</f>
        <v>N-Nitroso Lanreotide</v>
      </c>
      <c r="C1155" s="6" t="str">
        <f>HYPERLINK("https://www.kmpharma.in/product/17667","KML040020")</f>
        <v>KML040020</v>
      </c>
      <c r="D1155" s="6" t="s">
        <v>7</v>
      </c>
      <c r="E1155" s="7" t="s">
        <v>323</v>
      </c>
    </row>
    <row r="1156" spans="1:5" x14ac:dyDescent="0.25">
      <c r="A1156" s="3">
        <v>1155</v>
      </c>
      <c r="B1156" s="3" t="str">
        <f>HYPERLINK("https://www.kmpharma.in/product/17713","N-Nitroso Lansoprazole")</f>
        <v>N-Nitroso Lansoprazole</v>
      </c>
      <c r="C1156" s="3" t="str">
        <f>HYPERLINK("https://www.kmpharma.in/product/17713","KML003045")</f>
        <v>KML003045</v>
      </c>
      <c r="D1156" s="3" t="s">
        <v>7</v>
      </c>
      <c r="E1156" s="5" t="s">
        <v>323</v>
      </c>
    </row>
    <row r="1157" spans="1:5" x14ac:dyDescent="0.25">
      <c r="A1157" s="6">
        <v>1156</v>
      </c>
      <c r="B1157" s="6" t="str">
        <f>HYPERLINK("https://www.kmpharma.in/product/17714","N-Nitroso Lansoprazole EP Impurity E")</f>
        <v>N-Nitroso Lansoprazole EP Impurity E</v>
      </c>
      <c r="C1157" s="6" t="str">
        <f>HYPERLINK("https://www.kmpharma.in/product/17714","KML003046")</f>
        <v>KML003046</v>
      </c>
      <c r="D1157" s="6" t="s">
        <v>7</v>
      </c>
      <c r="E1157" s="7" t="s">
        <v>321</v>
      </c>
    </row>
    <row r="1158" spans="1:5" x14ac:dyDescent="0.25">
      <c r="A1158" s="3">
        <v>1157</v>
      </c>
      <c r="B1158" s="3" t="str">
        <f>HYPERLINK("https://www.kmpharma.in/product/17983","N-Nitroso Leniolisib")</f>
        <v>N-Nitroso Leniolisib</v>
      </c>
      <c r="C1158" s="3" t="str">
        <f>HYPERLINK("https://www.kmpharma.in/product/17983","KML052013")</f>
        <v>KML052013</v>
      </c>
      <c r="D1158" s="3" t="s">
        <v>7</v>
      </c>
      <c r="E1158" s="5" t="s">
        <v>321</v>
      </c>
    </row>
    <row r="1159" spans="1:5" x14ac:dyDescent="0.25">
      <c r="A1159" s="6">
        <v>1158</v>
      </c>
      <c r="B1159" s="6" t="str">
        <f>HYPERLINK("https://www.kmpharma.in/product/18039","N-Nitroso Lenvatinib")</f>
        <v>N-Nitroso Lenvatinib</v>
      </c>
      <c r="C1159" s="6" t="str">
        <f>HYPERLINK("https://www.kmpharma.in/product/18039","KML053055")</f>
        <v>KML053055</v>
      </c>
      <c r="D1159" s="6" t="s">
        <v>7</v>
      </c>
      <c r="E1159" s="7" t="s">
        <v>321</v>
      </c>
    </row>
    <row r="1160" spans="1:5" x14ac:dyDescent="0.25">
      <c r="A1160" s="3">
        <v>1159</v>
      </c>
      <c r="B1160" s="3" t="str">
        <f>HYPERLINK("https://www.kmpharma.in/product/18089","N-Nitroso Lercanidipine")</f>
        <v>N-Nitroso Lercanidipine</v>
      </c>
      <c r="C1160" s="3" t="str">
        <f>HYPERLINK("https://www.kmpharma.in/product/18089","KML054049")</f>
        <v>KML054049</v>
      </c>
      <c r="D1160" s="3" t="s">
        <v>7</v>
      </c>
      <c r="E1160" s="5" t="s">
        <v>321</v>
      </c>
    </row>
    <row r="1161" spans="1:5" x14ac:dyDescent="0.25">
      <c r="A1161" s="6">
        <v>1160</v>
      </c>
      <c r="B1161" s="6" t="str">
        <f>HYPERLINK("https://www.kmpharma.in/product/18088","N-Nitroso Lercanidipine EP Impurity A")</f>
        <v>N-Nitroso Lercanidipine EP Impurity A</v>
      </c>
      <c r="C1161" s="6" t="str">
        <f>HYPERLINK("https://www.kmpharma.in/product/18088","KML054050")</f>
        <v>KML054050</v>
      </c>
      <c r="D1161" s="6" t="s">
        <v>7</v>
      </c>
      <c r="E1161" s="7" t="s">
        <v>321</v>
      </c>
    </row>
    <row r="1162" spans="1:5" x14ac:dyDescent="0.25">
      <c r="A1162" s="3">
        <v>1161</v>
      </c>
      <c r="B1162" s="3" t="str">
        <f>HYPERLINK("https://www.kmpharma.in/product/18152","N-Nitroso Leucine Impurity")</f>
        <v>N-Nitroso Leucine Impurity</v>
      </c>
      <c r="C1162" s="3" t="str">
        <f>HYPERLINK("https://www.kmpharma.in/product/18152","KML058036")</f>
        <v>KML058036</v>
      </c>
      <c r="D1162" s="3" t="s">
        <v>149</v>
      </c>
      <c r="E1162" s="3" t="s">
        <v>16</v>
      </c>
    </row>
    <row r="1163" spans="1:5" x14ac:dyDescent="0.25">
      <c r="A1163" s="6">
        <v>1162</v>
      </c>
      <c r="B1163" s="6" t="str">
        <f>HYPERLINK("https://www.kmpharma.in/product/35096","N-Nitroso Levamlodipine")</f>
        <v>N-Nitroso Levamlodipine</v>
      </c>
      <c r="C1163" s="6" t="str">
        <f>HYPERLINK("https://www.kmpharma.in/product/35096","KMA011110")</f>
        <v>KMA011110</v>
      </c>
      <c r="D1163" s="6" t="s">
        <v>7</v>
      </c>
      <c r="E1163" s="7" t="s">
        <v>323</v>
      </c>
    </row>
    <row r="1164" spans="1:5" x14ac:dyDescent="0.25">
      <c r="A1164" s="3">
        <v>1163</v>
      </c>
      <c r="B1164" s="3" t="str">
        <f>HYPERLINK("https://www.kmpharma.in/product/18242","N-Nitroso Levetiracetam Impurity")</f>
        <v>N-Nitroso Levetiracetam Impurity</v>
      </c>
      <c r="C1164" s="3" t="str">
        <f>HYPERLINK("https://www.kmpharma.in/product/18242","KML020031")</f>
        <v>KML020031</v>
      </c>
      <c r="D1164" s="3" t="s">
        <v>7</v>
      </c>
      <c r="E1164" s="5" t="s">
        <v>321</v>
      </c>
    </row>
    <row r="1165" spans="1:5" x14ac:dyDescent="0.25">
      <c r="A1165" s="6">
        <v>1164</v>
      </c>
      <c r="B1165" s="6" t="str">
        <f>HYPERLINK("https://www.kmpharma.in/product/18241","N-Nitroso Levetiracetam Impurity 2")</f>
        <v>N-Nitroso Levetiracetam Impurity 2</v>
      </c>
      <c r="C1165" s="6" t="str">
        <f>HYPERLINK("https://www.kmpharma.in/product/18241","KML020032")</f>
        <v>KML020032</v>
      </c>
      <c r="D1165" s="6" t="s">
        <v>7</v>
      </c>
      <c r="E1165" s="7" t="s">
        <v>321</v>
      </c>
    </row>
    <row r="1166" spans="1:5" x14ac:dyDescent="0.25">
      <c r="A1166" s="3">
        <v>1165</v>
      </c>
      <c r="B1166" s="3" t="str">
        <f>HYPERLINK("https://www.kmpharma.in/product/18243","N-Nitroso Levetiracetam USP Related Compound A")</f>
        <v>N-Nitroso Levetiracetam USP Related Compound A</v>
      </c>
      <c r="C1166" s="3" t="str">
        <f>HYPERLINK("https://www.kmpharma.in/product/18243","KML020033")</f>
        <v>KML020033</v>
      </c>
      <c r="D1166" s="3" t="s">
        <v>7</v>
      </c>
      <c r="E1166" s="5" t="s">
        <v>321</v>
      </c>
    </row>
    <row r="1167" spans="1:5" x14ac:dyDescent="0.25">
      <c r="A1167" s="6">
        <v>1166</v>
      </c>
      <c r="B1167" s="6" t="str">
        <f>HYPERLINK("https://www.kmpharma.in/product/18245","N-Nitroso Levmetamfetamine")</f>
        <v>N-Nitroso Levmetamfetamine</v>
      </c>
      <c r="C1167" s="6" t="str">
        <f>HYPERLINK("https://www.kmpharma.in/product/18245","KML062002")</f>
        <v>KML062002</v>
      </c>
      <c r="D1167" s="6" t="s">
        <v>7</v>
      </c>
      <c r="E1167" s="7" t="s">
        <v>321</v>
      </c>
    </row>
    <row r="1168" spans="1:5" x14ac:dyDescent="0.25">
      <c r="A1168" s="3">
        <v>1167</v>
      </c>
      <c r="B1168" s="3" t="str">
        <f>HYPERLINK("https://www.kmpharma.in/product/18374","N-Nitroso Levofloxacin EP Impurity B")</f>
        <v>N-Nitroso Levofloxacin EP Impurity B</v>
      </c>
      <c r="C1168" s="3" t="str">
        <f>HYPERLINK("https://www.kmpharma.in/product/18374","KML009029")</f>
        <v>KML009029</v>
      </c>
      <c r="D1168" s="3" t="s">
        <v>150</v>
      </c>
      <c r="E1168" s="5" t="s">
        <v>323</v>
      </c>
    </row>
    <row r="1169" spans="1:5" x14ac:dyDescent="0.25">
      <c r="A1169" s="6">
        <v>1168</v>
      </c>
      <c r="B1169" s="6" t="str">
        <f>HYPERLINK("https://www.kmpharma.in/product/18379","N-Nitroso Levofloxacin EP Impurity G (Possibility 1)")</f>
        <v>N-Nitroso Levofloxacin EP Impurity G (Possibility 1)</v>
      </c>
      <c r="C1169" s="6" t="str">
        <f>HYPERLINK("https://www.kmpharma.in/product/18379","KML009030")</f>
        <v>KML009030</v>
      </c>
      <c r="D1169" s="6" t="s">
        <v>7</v>
      </c>
      <c r="E1169" s="7" t="s">
        <v>323</v>
      </c>
    </row>
    <row r="1170" spans="1:5" x14ac:dyDescent="0.25">
      <c r="A1170" s="3">
        <v>1169</v>
      </c>
      <c r="B1170" s="3" t="str">
        <f>HYPERLINK("https://www.kmpharma.in/product/18380","N-Nitroso Levofloxacin EP Impurity G (Possibility 2)")</f>
        <v>N-Nitroso Levofloxacin EP Impurity G (Possibility 2)</v>
      </c>
      <c r="C1170" s="3" t="str">
        <f>HYPERLINK("https://www.kmpharma.in/product/18380","KML009031")</f>
        <v>KML009031</v>
      </c>
      <c r="D1170" s="3" t="s">
        <v>7</v>
      </c>
      <c r="E1170" s="5" t="s">
        <v>323</v>
      </c>
    </row>
    <row r="1171" spans="1:5" x14ac:dyDescent="0.25">
      <c r="A1171" s="6">
        <v>1170</v>
      </c>
      <c r="B1171" s="6" t="str">
        <f>HYPERLINK("https://www.kmpharma.in/product/18376","N-Nitroso Levofloxacin Impurity 3")</f>
        <v>N-Nitroso Levofloxacin Impurity 3</v>
      </c>
      <c r="C1171" s="6" t="str">
        <f>HYPERLINK("https://www.kmpharma.in/product/18376","KML009032")</f>
        <v>KML009032</v>
      </c>
      <c r="D1171" s="6" t="s">
        <v>7</v>
      </c>
      <c r="E1171" s="7" t="s">
        <v>323</v>
      </c>
    </row>
    <row r="1172" spans="1:5" x14ac:dyDescent="0.25">
      <c r="A1172" s="3">
        <v>1171</v>
      </c>
      <c r="B1172" s="3" t="str">
        <f>HYPERLINK("https://www.kmpharma.in/product/18377","N-Nitroso Levofloxacin Impurity 4")</f>
        <v>N-Nitroso Levofloxacin Impurity 4</v>
      </c>
      <c r="C1172" s="3" t="str">
        <f>HYPERLINK("https://www.kmpharma.in/product/18377","KML009033")</f>
        <v>KML009033</v>
      </c>
      <c r="D1172" s="3" t="s">
        <v>7</v>
      </c>
      <c r="E1172" s="5" t="s">
        <v>323</v>
      </c>
    </row>
    <row r="1173" spans="1:5" x14ac:dyDescent="0.25">
      <c r="A1173" s="6">
        <v>1172</v>
      </c>
      <c r="B1173" s="6" t="str">
        <f>HYPERLINK("https://www.kmpharma.in/product/18373","N-Nitroso Levofloxacin-D8")</f>
        <v>N-Nitroso Levofloxacin-D8</v>
      </c>
      <c r="C1173" s="6" t="str">
        <f>HYPERLINK("https://www.kmpharma.in/product/18373","KML009034")</f>
        <v>KML009034</v>
      </c>
      <c r="D1173" s="6" t="s">
        <v>7</v>
      </c>
      <c r="E1173" s="7" t="s">
        <v>321</v>
      </c>
    </row>
    <row r="1174" spans="1:5" x14ac:dyDescent="0.25">
      <c r="A1174" s="3">
        <v>1173</v>
      </c>
      <c r="B1174" s="3" t="str">
        <f>HYPERLINK("https://www.kmpharma.in/product/18593","N-Nitroso Lidocaine")</f>
        <v>N-Nitroso Lidocaine</v>
      </c>
      <c r="C1174" s="3" t="str">
        <f>HYPERLINK("https://www.kmpharma.in/product/18593","KML024040")</f>
        <v>KML024040</v>
      </c>
      <c r="D1174" s="3" t="s">
        <v>7</v>
      </c>
      <c r="E1174" s="5" t="s">
        <v>321</v>
      </c>
    </row>
    <row r="1175" spans="1:5" x14ac:dyDescent="0.25">
      <c r="A1175" s="6">
        <v>1174</v>
      </c>
      <c r="B1175" s="6" t="str">
        <f>HYPERLINK("https://www.kmpharma.in/product/18589","N-Nitroso Lidocaine EP Impurity D")</f>
        <v>N-Nitroso Lidocaine EP Impurity D</v>
      </c>
      <c r="C1175" s="6" t="str">
        <f>HYPERLINK("https://www.kmpharma.in/product/18589","KML024041")</f>
        <v>KML024041</v>
      </c>
      <c r="D1175" s="6" t="s">
        <v>7</v>
      </c>
      <c r="E1175" s="6" t="s">
        <v>16</v>
      </c>
    </row>
    <row r="1176" spans="1:5" x14ac:dyDescent="0.25">
      <c r="A1176" s="3">
        <v>1175</v>
      </c>
      <c r="B1176" s="3" t="str">
        <f>HYPERLINK("https://www.kmpharma.in/product/18590","N-Nitroso Lidocaine EP Impurity E")</f>
        <v>N-Nitroso Lidocaine EP Impurity E</v>
      </c>
      <c r="C1176" s="3" t="str">
        <f>HYPERLINK("https://www.kmpharma.in/product/18590","KML024042")</f>
        <v>KML024042</v>
      </c>
      <c r="D1176" s="3" t="s">
        <v>7</v>
      </c>
      <c r="E1176" s="5" t="s">
        <v>321</v>
      </c>
    </row>
    <row r="1177" spans="1:5" x14ac:dyDescent="0.25">
      <c r="A1177" s="6">
        <v>1176</v>
      </c>
      <c r="B1177" s="6" t="str">
        <f>HYPERLINK("https://www.kmpharma.in/product/18591","N-Nitroso Lidocaine EP Impurity G")</f>
        <v>N-Nitroso Lidocaine EP Impurity G</v>
      </c>
      <c r="C1177" s="6" t="str">
        <f>HYPERLINK("https://www.kmpharma.in/product/18591","KML024043")</f>
        <v>KML024043</v>
      </c>
      <c r="D1177" s="6" t="s">
        <v>7</v>
      </c>
      <c r="E1177" s="7" t="s">
        <v>321</v>
      </c>
    </row>
    <row r="1178" spans="1:5" x14ac:dyDescent="0.25">
      <c r="A1178" s="3">
        <v>1177</v>
      </c>
      <c r="B1178" s="3" t="str">
        <f>HYPERLINK("https://www.kmpharma.in/product/18592","N-Nitroso Lidocaine Impurity 3")</f>
        <v>N-Nitroso Lidocaine Impurity 3</v>
      </c>
      <c r="C1178" s="3" t="str">
        <f>HYPERLINK("https://www.kmpharma.in/product/18592","KML024044")</f>
        <v>KML024044</v>
      </c>
      <c r="D1178" s="3" t="s">
        <v>7</v>
      </c>
      <c r="E1178" s="5" t="s">
        <v>321</v>
      </c>
    </row>
    <row r="1179" spans="1:5" x14ac:dyDescent="0.25">
      <c r="A1179" s="6">
        <v>1178</v>
      </c>
      <c r="B1179" s="6" t="str">
        <f>HYPERLINK("https://www.kmpharma.in/product/18766","N-Nitroso Linagliptin Impurity")</f>
        <v>N-Nitroso Linagliptin Impurity</v>
      </c>
      <c r="C1179" s="6" t="str">
        <f>HYPERLINK("https://www.kmpharma.in/product/18766","KML010146")</f>
        <v>KML010146</v>
      </c>
      <c r="D1179" s="6" t="s">
        <v>151</v>
      </c>
      <c r="E1179" s="7" t="s">
        <v>321</v>
      </c>
    </row>
    <row r="1180" spans="1:5" x14ac:dyDescent="0.25">
      <c r="A1180" s="3">
        <v>1179</v>
      </c>
      <c r="B1180" s="3" t="str">
        <f>HYPERLINK("https://www.kmpharma.in/product/18780","N-Nitroso Linagliptin Related Compound B")</f>
        <v>N-Nitroso Linagliptin Related Compound B</v>
      </c>
      <c r="C1180" s="3" t="str">
        <f>HYPERLINK("https://www.kmpharma.in/product/18780","KML010147")</f>
        <v>KML010147</v>
      </c>
      <c r="D1180" s="3" t="s">
        <v>7</v>
      </c>
      <c r="E1180" s="5" t="s">
        <v>321</v>
      </c>
    </row>
    <row r="1181" spans="1:5" x14ac:dyDescent="0.25">
      <c r="A1181" s="6">
        <v>1180</v>
      </c>
      <c r="B1181" s="6" t="str">
        <f>HYPERLINK("https://www.kmpharma.in/product/18800","N-Nitroso lincomycin Impurity 1")</f>
        <v>N-Nitroso lincomycin Impurity 1</v>
      </c>
      <c r="C1181" s="6" t="str">
        <f>HYPERLINK("https://www.kmpharma.in/product/18800","KML080015")</f>
        <v>KML080015</v>
      </c>
      <c r="D1181" s="6" t="s">
        <v>7</v>
      </c>
      <c r="E1181" s="7" t="s">
        <v>321</v>
      </c>
    </row>
    <row r="1182" spans="1:5" x14ac:dyDescent="0.25">
      <c r="A1182" s="3">
        <v>1181</v>
      </c>
      <c r="B1182" s="3" t="str">
        <f>HYPERLINK("https://www.kmpharma.in/product/18876","N-Nitroso Linezolid Desacetamide Descarbonyl Phthalimide (S)-Isomer")</f>
        <v>N-Nitroso Linezolid Desacetamide Descarbonyl Phthalimide (S)-Isomer</v>
      </c>
      <c r="C1182" s="3" t="str">
        <f>HYPERLINK("https://www.kmpharma.in/product/18876","KML011075")</f>
        <v>KML011075</v>
      </c>
      <c r="D1182" s="3" t="s">
        <v>7</v>
      </c>
      <c r="E1182" s="5" t="s">
        <v>321</v>
      </c>
    </row>
    <row r="1183" spans="1:5" x14ac:dyDescent="0.25">
      <c r="A1183" s="6">
        <v>1182</v>
      </c>
      <c r="B1183" s="6" t="str">
        <f>HYPERLINK("https://www.kmpharma.in/product/18875","N-Nitroso Linezolid Descarbonyl (R)-Isomer")</f>
        <v>N-Nitroso Linezolid Descarbonyl (R)-Isomer</v>
      </c>
      <c r="C1183" s="6" t="str">
        <f>HYPERLINK("https://www.kmpharma.in/product/18875","KML011076")</f>
        <v>KML011076</v>
      </c>
      <c r="D1183" s="6" t="s">
        <v>7</v>
      </c>
      <c r="E1183" s="7" t="s">
        <v>321</v>
      </c>
    </row>
    <row r="1184" spans="1:5" x14ac:dyDescent="0.25">
      <c r="A1184" s="3">
        <v>1183</v>
      </c>
      <c r="B1184" s="3" t="str">
        <f>HYPERLINK("https://www.kmpharma.in/product/18879","N-Nitroso linezolid Impurity 1")</f>
        <v>N-Nitroso linezolid Impurity 1</v>
      </c>
      <c r="C1184" s="3" t="str">
        <f>HYPERLINK("https://www.kmpharma.in/product/18879","KML011077")</f>
        <v>KML011077</v>
      </c>
      <c r="D1184" s="3" t="s">
        <v>7</v>
      </c>
      <c r="E1184" s="5" t="s">
        <v>321</v>
      </c>
    </row>
    <row r="1185" spans="1:5" x14ac:dyDescent="0.25">
      <c r="A1185" s="6">
        <v>1184</v>
      </c>
      <c r="B1185" s="6" t="str">
        <f>HYPERLINK("https://www.kmpharma.in/product/18940","N-Nitroso Liraglutide")</f>
        <v>N-Nitroso Liraglutide</v>
      </c>
      <c r="C1185" s="6" t="str">
        <f>HYPERLINK("https://www.kmpharma.in/product/18940","KML083040")</f>
        <v>KML083040</v>
      </c>
      <c r="D1185" s="6" t="s">
        <v>7</v>
      </c>
      <c r="E1185" s="7" t="s">
        <v>323</v>
      </c>
    </row>
    <row r="1186" spans="1:5" x14ac:dyDescent="0.25">
      <c r="A1186" s="3">
        <v>1185</v>
      </c>
      <c r="B1186" s="3" t="str">
        <f>HYPERLINK("https://www.kmpharma.in/product/18969","N-Nitroso Lisdexamfetamine")</f>
        <v>N-Nitroso Lisdexamfetamine</v>
      </c>
      <c r="C1186" s="3" t="str">
        <f>HYPERLINK("https://www.kmpharma.in/product/18969","KML084029")</f>
        <v>KML084029</v>
      </c>
      <c r="D1186" s="3" t="s">
        <v>7</v>
      </c>
      <c r="E1186" s="5" t="s">
        <v>323</v>
      </c>
    </row>
    <row r="1187" spans="1:5" x14ac:dyDescent="0.25">
      <c r="A1187" s="6">
        <v>1186</v>
      </c>
      <c r="B1187" s="6" t="str">
        <f>HYPERLINK("https://www.kmpharma.in/product/191","N-Nitroso Lisinopril")</f>
        <v>N-Nitroso Lisinopril</v>
      </c>
      <c r="C1187" s="6" t="str">
        <f>HYPERLINK("https://www.kmpharma.in/product/191","KML007001")</f>
        <v>KML007001</v>
      </c>
      <c r="D1187" s="6" t="s">
        <v>72</v>
      </c>
      <c r="E1187" s="6" t="s">
        <v>16</v>
      </c>
    </row>
    <row r="1188" spans="1:5" x14ac:dyDescent="0.25">
      <c r="A1188" s="3">
        <v>1187</v>
      </c>
      <c r="B1188" s="3" t="str">
        <f>HYPERLINK("https://www.kmpharma.in/product/19006","N-Nitroso Lisinopril EP Impurity E")</f>
        <v>N-Nitroso Lisinopril EP Impurity E</v>
      </c>
      <c r="C1188" s="3" t="str">
        <f>HYPERLINK("https://www.kmpharma.in/product/19006","KML007040")</f>
        <v>KML007040</v>
      </c>
      <c r="D1188" s="3" t="s">
        <v>7</v>
      </c>
      <c r="E1188" s="5" t="s">
        <v>321</v>
      </c>
    </row>
    <row r="1189" spans="1:5" x14ac:dyDescent="0.25">
      <c r="A1189" s="6">
        <v>1188</v>
      </c>
      <c r="B1189" s="6" t="str">
        <f>HYPERLINK("https://www.kmpharma.in/product/19007","N-Nitroso Lisinopril EP Impurity F")</f>
        <v>N-Nitroso Lisinopril EP Impurity F</v>
      </c>
      <c r="C1189" s="6" t="str">
        <f>HYPERLINK("https://www.kmpharma.in/product/19007","KML007041")</f>
        <v>KML007041</v>
      </c>
      <c r="D1189" s="6" t="s">
        <v>7</v>
      </c>
      <c r="E1189" s="7" t="s">
        <v>321</v>
      </c>
    </row>
    <row r="1190" spans="1:5" x14ac:dyDescent="0.25">
      <c r="A1190" s="3">
        <v>1189</v>
      </c>
      <c r="B1190" s="3" t="str">
        <f>HYPERLINK("https://www.kmpharma.in/product/19008","N-Nitroso Lisinopril EP Impurity G")</f>
        <v>N-Nitroso Lisinopril EP Impurity G</v>
      </c>
      <c r="C1190" s="3" t="str">
        <f>HYPERLINK("https://www.kmpharma.in/product/19008","KML007042")</f>
        <v>KML007042</v>
      </c>
      <c r="D1190" s="3" t="s">
        <v>7</v>
      </c>
      <c r="E1190" s="3" t="s">
        <v>16</v>
      </c>
    </row>
    <row r="1191" spans="1:5" x14ac:dyDescent="0.25">
      <c r="A1191" s="6">
        <v>1190</v>
      </c>
      <c r="B1191" s="6" t="str">
        <f>HYPERLINK("https://www.kmpharma.in/product/19009","N-Nitroso Lisinopril EP Impurity H")</f>
        <v>N-Nitroso Lisinopril EP Impurity H</v>
      </c>
      <c r="C1191" s="6" t="str">
        <f>HYPERLINK("https://www.kmpharma.in/product/19009","KML007043")</f>
        <v>KML007043</v>
      </c>
      <c r="D1191" s="6" t="s">
        <v>7</v>
      </c>
      <c r="E1191" s="6" t="s">
        <v>16</v>
      </c>
    </row>
    <row r="1192" spans="1:5" x14ac:dyDescent="0.25">
      <c r="A1192" s="3">
        <v>1191</v>
      </c>
      <c r="B1192" s="3" t="str">
        <f>HYPERLINK("https://www.kmpharma.in/product/19010","N-Nitroso Lisinopril EP Impurity I")</f>
        <v>N-Nitroso Lisinopril EP Impurity I</v>
      </c>
      <c r="C1192" s="3" t="str">
        <f>HYPERLINK("https://www.kmpharma.in/product/19010","KML007044")</f>
        <v>KML007044</v>
      </c>
      <c r="D1192" s="3" t="s">
        <v>7</v>
      </c>
      <c r="E1192" s="5" t="s">
        <v>321</v>
      </c>
    </row>
    <row r="1193" spans="1:5" x14ac:dyDescent="0.25">
      <c r="A1193" s="6">
        <v>1192</v>
      </c>
      <c r="B1193" s="6" t="str">
        <f>HYPERLINK("https://www.kmpharma.in/product/19011","N-Nitroso Lisinopril EP Impurity J")</f>
        <v>N-Nitroso Lisinopril EP Impurity J</v>
      </c>
      <c r="C1193" s="6" t="str">
        <f>HYPERLINK("https://www.kmpharma.in/product/19011","KML007045")</f>
        <v>KML007045</v>
      </c>
      <c r="D1193" s="6" t="s">
        <v>7</v>
      </c>
      <c r="E1193" s="7" t="s">
        <v>321</v>
      </c>
    </row>
    <row r="1194" spans="1:5" x14ac:dyDescent="0.25">
      <c r="A1194" s="3">
        <v>1193</v>
      </c>
      <c r="B1194" s="3" t="str">
        <f>HYPERLINK("https://www.kmpharma.in/product/19188","N-Nitroso Lorazepam")</f>
        <v>N-Nitroso Lorazepam</v>
      </c>
      <c r="C1194" s="3" t="str">
        <f>HYPERLINK("https://www.kmpharma.in/product/19188","KML002022")</f>
        <v>KML002022</v>
      </c>
      <c r="D1194" s="3" t="s">
        <v>7</v>
      </c>
      <c r="E1194" s="5" t="s">
        <v>321</v>
      </c>
    </row>
    <row r="1195" spans="1:5" x14ac:dyDescent="0.25">
      <c r="A1195" s="6">
        <v>1194</v>
      </c>
      <c r="B1195" s="6" t="str">
        <f>HYPERLINK("https://www.kmpharma.in/product/19231","N-Nitroso Lorlatinib Impurity 1")</f>
        <v>N-Nitroso Lorlatinib Impurity 1</v>
      </c>
      <c r="C1195" s="6" t="str">
        <f>HYPERLINK("https://www.kmpharma.in/product/19231","KML097032")</f>
        <v>KML097032</v>
      </c>
      <c r="D1195" s="6" t="s">
        <v>7</v>
      </c>
      <c r="E1195" s="7" t="s">
        <v>321</v>
      </c>
    </row>
    <row r="1196" spans="1:5" x14ac:dyDescent="0.25">
      <c r="A1196" s="3">
        <v>1195</v>
      </c>
      <c r="B1196" s="3" t="str">
        <f>HYPERLINK("https://www.kmpharma.in/product/19232","N-Nitroso Lorlatinib Impurity 2")</f>
        <v>N-Nitroso Lorlatinib Impurity 2</v>
      </c>
      <c r="C1196" s="3" t="str">
        <f>HYPERLINK("https://www.kmpharma.in/product/19232","KML097033")</f>
        <v>KML097033</v>
      </c>
      <c r="D1196" s="3" t="s">
        <v>7</v>
      </c>
      <c r="E1196" s="5" t="s">
        <v>321</v>
      </c>
    </row>
    <row r="1197" spans="1:5" x14ac:dyDescent="0.25">
      <c r="A1197" s="6">
        <v>1196</v>
      </c>
      <c r="B1197" s="6" t="str">
        <f>HYPERLINK("https://www.kmpharma.in/product/19233","N-Nitroso Lorlatinib impurity-4")</f>
        <v>N-Nitroso Lorlatinib impurity-4</v>
      </c>
      <c r="C1197" s="6" t="str">
        <f>HYPERLINK("https://www.kmpharma.in/product/19233","KML097034")</f>
        <v>KML097034</v>
      </c>
      <c r="D1197" s="6" t="s">
        <v>7</v>
      </c>
      <c r="E1197" s="7" t="s">
        <v>321</v>
      </c>
    </row>
    <row r="1198" spans="1:5" x14ac:dyDescent="0.25">
      <c r="A1198" s="3">
        <v>1197</v>
      </c>
      <c r="B1198" s="3" t="str">
        <f>HYPERLINK("https://www.kmpharma.in/product/19510","N-Nitroso Lumateperone")</f>
        <v>N-Nitroso Lumateperone</v>
      </c>
      <c r="C1198" s="3" t="str">
        <f>HYPERLINK("https://www.kmpharma.in/product/19510","KML108041")</f>
        <v>KML108041</v>
      </c>
      <c r="D1198" s="3" t="s">
        <v>7</v>
      </c>
      <c r="E1198" s="5" t="s">
        <v>321</v>
      </c>
    </row>
    <row r="1199" spans="1:5" x14ac:dyDescent="0.25">
      <c r="A1199" s="6">
        <v>1198</v>
      </c>
      <c r="B1199" s="6" t="str">
        <f>HYPERLINK("https://www.kmpharma.in/product/19511","N-Nitroso Lumateperone Impurity 1")</f>
        <v>N-Nitroso Lumateperone Impurity 1</v>
      </c>
      <c r="C1199" s="6" t="str">
        <f>HYPERLINK("https://www.kmpharma.in/product/19511","KML108042")</f>
        <v>KML108042</v>
      </c>
      <c r="D1199" s="6" t="s">
        <v>7</v>
      </c>
      <c r="E1199" s="7" t="s">
        <v>322</v>
      </c>
    </row>
    <row r="1200" spans="1:5" x14ac:dyDescent="0.25">
      <c r="A1200" s="3">
        <v>1199</v>
      </c>
      <c r="B1200" s="3" t="str">
        <f>HYPERLINK("https://www.kmpharma.in/product/19512","N-Nitroso Lumateperone Impurity 2")</f>
        <v>N-Nitroso Lumateperone Impurity 2</v>
      </c>
      <c r="C1200" s="3" t="str">
        <f>HYPERLINK("https://www.kmpharma.in/product/19512","KML108043")</f>
        <v>KML108043</v>
      </c>
      <c r="D1200" s="3" t="s">
        <v>7</v>
      </c>
      <c r="E1200" s="5" t="s">
        <v>322</v>
      </c>
    </row>
    <row r="1201" spans="1:5" x14ac:dyDescent="0.25">
      <c r="A1201" s="6">
        <v>1200</v>
      </c>
      <c r="B1201" s="6" t="str">
        <f>HYPERLINK("https://www.kmpharma.in/product/19573","N-Nitroso Lurasidone Impurity 1")</f>
        <v>N-Nitroso Lurasidone Impurity 1</v>
      </c>
      <c r="C1201" s="6" t="str">
        <f>HYPERLINK("https://www.kmpharma.in/product/19573","KML006111")</f>
        <v>KML006111</v>
      </c>
      <c r="D1201" s="6" t="s">
        <v>7</v>
      </c>
      <c r="E1201" s="7" t="s">
        <v>322</v>
      </c>
    </row>
    <row r="1202" spans="1:5" x14ac:dyDescent="0.25">
      <c r="A1202" s="3">
        <v>1201</v>
      </c>
      <c r="B1202" s="3" t="str">
        <f>HYPERLINK("https://www.kmpharma.in/product/19640","N-Nitroso Lurasidone Impurity 2")</f>
        <v>N-Nitroso Lurasidone Impurity 2</v>
      </c>
      <c r="C1202" s="3" t="str">
        <f>HYPERLINK("https://www.kmpharma.in/product/19640","KML006112")</f>
        <v>KML006112</v>
      </c>
      <c r="D1202" s="3" t="s">
        <v>7</v>
      </c>
      <c r="E1202" s="3" t="s">
        <v>16</v>
      </c>
    </row>
    <row r="1203" spans="1:5" x14ac:dyDescent="0.25">
      <c r="A1203" s="6">
        <v>1202</v>
      </c>
      <c r="B1203" s="6" t="str">
        <f>HYPERLINK("https://www.kmpharma.in/product/19574","N-Nitroso Lurasidone Impurity 3")</f>
        <v>N-Nitroso Lurasidone Impurity 3</v>
      </c>
      <c r="C1203" s="6" t="str">
        <f>HYPERLINK("https://www.kmpharma.in/product/19574","KML006113")</f>
        <v>KML006113</v>
      </c>
      <c r="D1203" s="6" t="s">
        <v>152</v>
      </c>
      <c r="E1203" s="6" t="s">
        <v>16</v>
      </c>
    </row>
    <row r="1204" spans="1:5" x14ac:dyDescent="0.25">
      <c r="A1204" s="3">
        <v>1203</v>
      </c>
      <c r="B1204" s="3" t="str">
        <f>HYPERLINK("https://www.kmpharma.in/product/19739","N-Nitroso Macitentan")</f>
        <v>N-Nitroso Macitentan</v>
      </c>
      <c r="C1204" s="3" t="str">
        <f>HYPERLINK("https://www.kmpharma.in/product/19739","KMM015042")</f>
        <v>KMM015042</v>
      </c>
      <c r="D1204" s="3" t="s">
        <v>7</v>
      </c>
      <c r="E1204" s="5" t="s">
        <v>321</v>
      </c>
    </row>
    <row r="1205" spans="1:5" x14ac:dyDescent="0.25">
      <c r="A1205" s="6">
        <v>1204</v>
      </c>
      <c r="B1205" s="6" t="str">
        <f>HYPERLINK("https://www.kmpharma.in/product/19740","N-Nitroso Macitentan Dimer Impurity")</f>
        <v>N-Nitroso Macitentan Dimer Impurity</v>
      </c>
      <c r="C1205" s="6" t="str">
        <f>HYPERLINK("https://www.kmpharma.in/product/19740","KMM015043")</f>
        <v>KMM015043</v>
      </c>
      <c r="D1205" s="6" t="s">
        <v>7</v>
      </c>
      <c r="E1205" s="6" t="s">
        <v>16</v>
      </c>
    </row>
    <row r="1206" spans="1:5" x14ac:dyDescent="0.25">
      <c r="A1206" s="3">
        <v>1205</v>
      </c>
      <c r="B1206" s="3" t="str">
        <f>HYPERLINK("https://www.kmpharma.in/product/19816","N-Nitroso Maraviroc Impurity")</f>
        <v>N-Nitroso Maraviroc Impurity</v>
      </c>
      <c r="C1206" s="3" t="str">
        <f>HYPERLINK("https://www.kmpharma.in/product/19816","KMM034024")</f>
        <v>KMM034024</v>
      </c>
      <c r="D1206" s="3" t="s">
        <v>7</v>
      </c>
      <c r="E1206" s="3" t="s">
        <v>16</v>
      </c>
    </row>
    <row r="1207" spans="1:5" x14ac:dyDescent="0.25">
      <c r="A1207" s="6">
        <v>1206</v>
      </c>
      <c r="B1207" s="6" t="str">
        <f>HYPERLINK("https://www.kmpharma.in/product/19833","N-Nitroso Maribavir")</f>
        <v>N-Nitroso Maribavir</v>
      </c>
      <c r="C1207" s="6" t="str">
        <f>HYPERLINK("https://www.kmpharma.in/product/19833","KMM036010")</f>
        <v>KMM036010</v>
      </c>
      <c r="D1207" s="6" t="s">
        <v>7</v>
      </c>
      <c r="E1207" s="7" t="s">
        <v>322</v>
      </c>
    </row>
    <row r="1208" spans="1:5" x14ac:dyDescent="0.25">
      <c r="A1208" s="3">
        <v>1207</v>
      </c>
      <c r="B1208" s="3" t="str">
        <f>HYPERLINK("https://www.kmpharma.in/product/19844","N-Nitroso Maropitant")</f>
        <v>N-Nitroso Maropitant</v>
      </c>
      <c r="C1208" s="3" t="str">
        <f>HYPERLINK("https://www.kmpharma.in/product/19844","KMM037010")</f>
        <v>KMM037010</v>
      </c>
      <c r="D1208" s="3" t="s">
        <v>7</v>
      </c>
      <c r="E1208" s="5" t="s">
        <v>321</v>
      </c>
    </row>
    <row r="1209" spans="1:5" x14ac:dyDescent="0.25">
      <c r="A1209" s="6">
        <v>1208</v>
      </c>
      <c r="B1209" s="6" t="str">
        <f>HYPERLINK("https://www.kmpharma.in/product/19869","N-Nitroso Mavacamten")</f>
        <v>N-Nitroso Mavacamten</v>
      </c>
      <c r="C1209" s="6" t="str">
        <f>HYPERLINK("https://www.kmpharma.in/product/19869","KMM039024")</f>
        <v>KMM039024</v>
      </c>
      <c r="D1209" s="6" t="s">
        <v>7</v>
      </c>
      <c r="E1209" s="6" t="s">
        <v>16</v>
      </c>
    </row>
    <row r="1210" spans="1:5" x14ac:dyDescent="0.25">
      <c r="A1210" s="3">
        <v>1209</v>
      </c>
      <c r="B1210" s="3" t="str">
        <f>HYPERLINK("https://www.kmpharma.in/product/14253","N-Nitroso Mebeverine EP Impurity B")</f>
        <v>N-Nitroso Mebeverine EP Impurity B</v>
      </c>
      <c r="C1210" s="3" t="str">
        <f>HYPERLINK("https://www.kmpharma.in/product/14253","KMF099038")</f>
        <v>KMF099038</v>
      </c>
      <c r="D1210" s="3" t="s">
        <v>7</v>
      </c>
      <c r="E1210" s="3" t="s">
        <v>16</v>
      </c>
    </row>
    <row r="1211" spans="1:5" x14ac:dyDescent="0.25">
      <c r="A1211" s="6">
        <v>1210</v>
      </c>
      <c r="B1211" s="6" t="str">
        <f>HYPERLINK("https://www.kmpharma.in/product/36777","N-Nitroso Mebeverine EP Impurity B")</f>
        <v>N-Nitroso Mebeverine EP Impurity B</v>
      </c>
      <c r="C1211" s="6" t="str">
        <f>HYPERLINK("https://www.kmpharma.in/product/36777","KMM044031")</f>
        <v>KMM044031</v>
      </c>
      <c r="D1211" s="6" t="s">
        <v>7</v>
      </c>
      <c r="E1211" s="6" t="s">
        <v>16</v>
      </c>
    </row>
    <row r="1212" spans="1:5" x14ac:dyDescent="0.25">
      <c r="A1212" s="3">
        <v>1211</v>
      </c>
      <c r="B1212" s="3" t="str">
        <f>HYPERLINK("https://www.kmpharma.in/product/19925","N-Nitroso Mecamylamine")</f>
        <v>N-Nitroso Mecamylamine</v>
      </c>
      <c r="C1212" s="3" t="str">
        <f>HYPERLINK("https://www.kmpharma.in/product/19925","KMM045003")</f>
        <v>KMM045003</v>
      </c>
      <c r="D1212" s="3" t="s">
        <v>153</v>
      </c>
      <c r="E1212" s="5" t="s">
        <v>321</v>
      </c>
    </row>
    <row r="1213" spans="1:5" x14ac:dyDescent="0.25">
      <c r="A1213" s="6">
        <v>1212</v>
      </c>
      <c r="B1213" s="6" t="str">
        <f>HYPERLINK("https://www.kmpharma.in/product/19956","N-Nitroso Meclofenamic Acid")</f>
        <v>N-Nitroso Meclofenamic Acid</v>
      </c>
      <c r="C1213" s="6" t="str">
        <f>HYPERLINK("https://www.kmpharma.in/product/19956","KMM048006")</f>
        <v>KMM048006</v>
      </c>
      <c r="D1213" s="6" t="s">
        <v>7</v>
      </c>
      <c r="E1213" s="7" t="s">
        <v>322</v>
      </c>
    </row>
    <row r="1214" spans="1:5" x14ac:dyDescent="0.25">
      <c r="A1214" s="3">
        <v>1213</v>
      </c>
      <c r="B1214" s="3" t="str">
        <f>HYPERLINK("https://www.kmpharma.in/product/20056","N-Nitroso Melatonin d4")</f>
        <v>N-Nitroso Melatonin d4</v>
      </c>
      <c r="C1214" s="3" t="str">
        <f>HYPERLINK("https://www.kmpharma.in/product/20056","KMM058020")</f>
        <v>KMM058020</v>
      </c>
      <c r="D1214" s="3" t="s">
        <v>7</v>
      </c>
      <c r="E1214" s="5" t="s">
        <v>321</v>
      </c>
    </row>
    <row r="1215" spans="1:5" x14ac:dyDescent="0.25">
      <c r="A1215" s="6">
        <v>1214</v>
      </c>
      <c r="B1215" s="6" t="str">
        <f>HYPERLINK("https://www.kmpharma.in/product/20087","N-Nitroso Meloxicam")</f>
        <v>N-Nitroso Meloxicam</v>
      </c>
      <c r="C1215" s="6" t="str">
        <f>HYPERLINK("https://www.kmpharma.in/product/20087","KMM061020")</f>
        <v>KMM061020</v>
      </c>
      <c r="D1215" s="6" t="s">
        <v>7</v>
      </c>
      <c r="E1215" s="7" t="s">
        <v>321</v>
      </c>
    </row>
    <row r="1216" spans="1:5" x14ac:dyDescent="0.25">
      <c r="A1216" s="3">
        <v>1215</v>
      </c>
      <c r="B1216" s="3" t="str">
        <f>HYPERLINK("https://www.kmpharma.in/product/20135","N-Nitroso Melphalan EP Impurity C")</f>
        <v>N-Nitroso Melphalan EP Impurity C</v>
      </c>
      <c r="C1216" s="3" t="str">
        <f>HYPERLINK("https://www.kmpharma.in/product/20135","KMM063046")</f>
        <v>KMM063046</v>
      </c>
      <c r="D1216" s="3" t="s">
        <v>7</v>
      </c>
      <c r="E1216" s="5" t="s">
        <v>321</v>
      </c>
    </row>
    <row r="1217" spans="1:5" x14ac:dyDescent="0.25">
      <c r="A1217" s="6">
        <v>1216</v>
      </c>
      <c r="B1217" s="6" t="str">
        <f>HYPERLINK("https://www.kmpharma.in/product/36798","N-Nitroso Memantine")</f>
        <v>N-Nitroso Memantine</v>
      </c>
      <c r="C1217" s="6" t="str">
        <f>HYPERLINK("https://www.kmpharma.in/product/36798","KMM012021")</f>
        <v>KMM012021</v>
      </c>
      <c r="D1217" s="6" t="s">
        <v>7</v>
      </c>
      <c r="E1217" s="7" t="s">
        <v>322</v>
      </c>
    </row>
    <row r="1218" spans="1:5" x14ac:dyDescent="0.25">
      <c r="A1218" s="3">
        <v>1217</v>
      </c>
      <c r="B1218" s="3" t="str">
        <f>HYPERLINK("https://www.kmpharma.in/product/20194","N-Nitroso Mercaptopurine")</f>
        <v>N-Nitroso Mercaptopurine</v>
      </c>
      <c r="C1218" s="3" t="str">
        <f>HYPERLINK("https://www.kmpharma.in/product/20194","KMM010015")</f>
        <v>KMM010015</v>
      </c>
      <c r="D1218" s="3" t="s">
        <v>7</v>
      </c>
      <c r="E1218" s="5" t="s">
        <v>321</v>
      </c>
    </row>
    <row r="1219" spans="1:5" x14ac:dyDescent="0.25">
      <c r="A1219" s="6">
        <v>1218</v>
      </c>
      <c r="B1219" s="6" t="str">
        <f>HYPERLINK("https://www.kmpharma.in/product/20207","N-Nitroso Meropenem")</f>
        <v>N-Nitroso Meropenem</v>
      </c>
      <c r="C1219" s="6" t="str">
        <f>HYPERLINK("https://www.kmpharma.in/product/20207","KMM013011")</f>
        <v>KMM013011</v>
      </c>
      <c r="D1219" s="6" t="s">
        <v>7</v>
      </c>
      <c r="E1219" s="7" t="s">
        <v>321</v>
      </c>
    </row>
    <row r="1220" spans="1:5" x14ac:dyDescent="0.25">
      <c r="A1220" s="3">
        <v>1219</v>
      </c>
      <c r="B1220" s="3" t="str">
        <f>HYPERLINK("https://www.kmpharma.in/product/20269","N-Nitroso Mesalazine EP Impurity S")</f>
        <v>N-Nitroso Mesalazine EP Impurity S</v>
      </c>
      <c r="C1220" s="3" t="str">
        <f>HYPERLINK("https://www.kmpharma.in/product/20269","KMM078052")</f>
        <v>KMM078052</v>
      </c>
      <c r="D1220" s="3" t="s">
        <v>7</v>
      </c>
      <c r="E1220" s="5" t="s">
        <v>321</v>
      </c>
    </row>
    <row r="1221" spans="1:5" x14ac:dyDescent="0.25">
      <c r="A1221" s="6">
        <v>1220</v>
      </c>
      <c r="B1221" s="6" t="str">
        <f>HYPERLINK("https://www.kmpharma.in/product/23999","N-Nitroso Meta Orphenadrine")</f>
        <v>N-Nitroso Meta Orphenadrine</v>
      </c>
      <c r="C1221" s="6" t="str">
        <f>HYPERLINK("https://www.kmpharma.in/product/23999","KMO040002")</f>
        <v>KMO040002</v>
      </c>
      <c r="D1221" s="6" t="s">
        <v>7</v>
      </c>
      <c r="E1221" s="7" t="s">
        <v>321</v>
      </c>
    </row>
    <row r="1222" spans="1:5" x14ac:dyDescent="0.25">
      <c r="A1222" s="3">
        <v>1221</v>
      </c>
      <c r="B1222" s="3" t="str">
        <f>HYPERLINK("https://www.kmpharma.in/product/20333","N-Nitroso Metamizole EP Impurity C")</f>
        <v>N-Nitroso Metamizole EP Impurity C</v>
      </c>
      <c r="C1222" s="3" t="str">
        <f>HYPERLINK("https://www.kmpharma.in/product/20333","KMM086026")</f>
        <v>KMM086026</v>
      </c>
      <c r="D1222" s="3" t="s">
        <v>154</v>
      </c>
      <c r="E1222" s="5" t="s">
        <v>321</v>
      </c>
    </row>
    <row r="1223" spans="1:5" x14ac:dyDescent="0.25">
      <c r="A1223" s="6">
        <v>1222</v>
      </c>
      <c r="B1223" s="6" t="str">
        <f>HYPERLINK("https://www.kmpharma.in/product/20332","N-Nitroso Metamizole EP Impurity C-D3")</f>
        <v>N-Nitroso Metamizole EP Impurity C-D3</v>
      </c>
      <c r="C1223" s="6" t="str">
        <f>HYPERLINK("https://www.kmpharma.in/product/20332","KMM086027")</f>
        <v>KMM086027</v>
      </c>
      <c r="D1223" s="6" t="s">
        <v>7</v>
      </c>
      <c r="E1223" s="7" t="s">
        <v>322</v>
      </c>
    </row>
    <row r="1224" spans="1:5" x14ac:dyDescent="0.25">
      <c r="A1224" s="3">
        <v>1223</v>
      </c>
      <c r="B1224" s="3" t="str">
        <f>HYPERLINK("https://www.kmpharma.in/product/20334","N-Nitroso Metamizole EP Impurity E")</f>
        <v>N-Nitroso Metamizole EP Impurity E</v>
      </c>
      <c r="C1224" s="3" t="str">
        <f>HYPERLINK("https://www.kmpharma.in/product/20334","KMM086028")</f>
        <v>KMM086028</v>
      </c>
      <c r="D1224" s="3" t="s">
        <v>7</v>
      </c>
      <c r="E1224" s="5" t="s">
        <v>321</v>
      </c>
    </row>
    <row r="1225" spans="1:5" x14ac:dyDescent="0.25">
      <c r="A1225" s="6">
        <v>1224</v>
      </c>
      <c r="B1225" s="6" t="str">
        <f>HYPERLINK("https://www.kmpharma.in/product/20335","N-Nitroso Metamizole Impurity 2")</f>
        <v>N-Nitroso Metamizole Impurity 2</v>
      </c>
      <c r="C1225" s="6" t="str">
        <f>HYPERLINK("https://www.kmpharma.in/product/20335","KMM086029")</f>
        <v>KMM086029</v>
      </c>
      <c r="D1225" s="6" t="s">
        <v>7</v>
      </c>
      <c r="E1225" s="7" t="s">
        <v>321</v>
      </c>
    </row>
    <row r="1226" spans="1:5" x14ac:dyDescent="0.25">
      <c r="A1226" s="3">
        <v>1225</v>
      </c>
      <c r="B1226" s="3" t="str">
        <f>HYPERLINK("https://www.kmpharma.in/product/20364","N-Nitroso Metaxalone USP Related Compound C")</f>
        <v>N-Nitroso Metaxalone USP Related Compound C</v>
      </c>
      <c r="C1226" s="3" t="str">
        <f>HYPERLINK("https://www.kmpharma.in/product/20364","KMM088020")</f>
        <v>KMM088020</v>
      </c>
      <c r="D1226" s="3" t="s">
        <v>7</v>
      </c>
      <c r="E1226" s="5" t="s">
        <v>323</v>
      </c>
    </row>
    <row r="1227" spans="1:5" x14ac:dyDescent="0.25">
      <c r="A1227" s="6">
        <v>1226</v>
      </c>
      <c r="B1227" s="6" t="str">
        <f>HYPERLINK("https://www.kmpharma.in/product/20401","N-Nitroso Metformin")</f>
        <v>N-Nitroso Metformin</v>
      </c>
      <c r="C1227" s="6" t="str">
        <f>HYPERLINK("https://www.kmpharma.in/product/20401","KMM091018")</f>
        <v>KMM091018</v>
      </c>
      <c r="D1227" s="6" t="s">
        <v>7</v>
      </c>
      <c r="E1227" s="7" t="s">
        <v>321</v>
      </c>
    </row>
    <row r="1228" spans="1:5" x14ac:dyDescent="0.25">
      <c r="A1228" s="3">
        <v>1227</v>
      </c>
      <c r="B1228" s="3" t="str">
        <f>HYPERLINK("https://www.kmpharma.in/product/20400","N-Nitroso Metformin EP Impurity A")</f>
        <v>N-Nitroso Metformin EP Impurity A</v>
      </c>
      <c r="C1228" s="3" t="str">
        <f>HYPERLINK("https://www.kmpharma.in/product/20400","KMM091019")</f>
        <v>KMM091019</v>
      </c>
      <c r="D1228" s="3" t="s">
        <v>7</v>
      </c>
      <c r="E1228" s="5" t="s">
        <v>321</v>
      </c>
    </row>
    <row r="1229" spans="1:5" x14ac:dyDescent="0.25">
      <c r="A1229" s="6">
        <v>1228</v>
      </c>
      <c r="B1229" s="6" t="str">
        <f>HYPERLINK("https://www.kmpharma.in/product/20402","N-Nitroso Metformin Impurity 1")</f>
        <v>N-Nitroso Metformin Impurity 1</v>
      </c>
      <c r="C1229" s="6" t="str">
        <f>HYPERLINK("https://www.kmpharma.in/product/20402","KMM091020")</f>
        <v>KMM091020</v>
      </c>
      <c r="D1229" s="6" t="s">
        <v>7</v>
      </c>
      <c r="E1229" s="7" t="s">
        <v>321</v>
      </c>
    </row>
    <row r="1230" spans="1:5" x14ac:dyDescent="0.25">
      <c r="A1230" s="3">
        <v>1229</v>
      </c>
      <c r="B1230" s="3" t="str">
        <f>HYPERLINK("https://www.kmpharma.in/product/20403","N-Nitroso Metformin Impurity 2")</f>
        <v>N-Nitroso Metformin Impurity 2</v>
      </c>
      <c r="C1230" s="3" t="str">
        <f>HYPERLINK("https://www.kmpharma.in/product/20403","KMM091021")</f>
        <v>KMM091021</v>
      </c>
      <c r="D1230" s="3" t="s">
        <v>7</v>
      </c>
      <c r="E1230" s="5" t="s">
        <v>321</v>
      </c>
    </row>
    <row r="1231" spans="1:5" x14ac:dyDescent="0.25">
      <c r="A1231" s="6">
        <v>1230</v>
      </c>
      <c r="B1231" s="6" t="str">
        <f>HYPERLINK("https://www.kmpharma.in/product/20415","N-Nitroso Methamphetamine")</f>
        <v>N-Nitroso Methamphetamine</v>
      </c>
      <c r="C1231" s="6" t="str">
        <f>HYPERLINK("https://www.kmpharma.in/product/20415","KMM096001")</f>
        <v>KMM096001</v>
      </c>
      <c r="D1231" s="6" t="s">
        <v>155</v>
      </c>
      <c r="E1231" s="7" t="s">
        <v>321</v>
      </c>
    </row>
    <row r="1232" spans="1:5" x14ac:dyDescent="0.25">
      <c r="A1232" s="3">
        <v>1231</v>
      </c>
      <c r="B1232" s="3" t="str">
        <f>HYPERLINK("https://www.kmpharma.in/product/20516","N-Nitroso Methotrexate")</f>
        <v>N-Nitroso Methotrexate</v>
      </c>
      <c r="C1232" s="3" t="str">
        <f>HYPERLINK("https://www.kmpharma.in/product/20516","KMM018056")</f>
        <v>KMM018056</v>
      </c>
      <c r="D1232" s="3" t="s">
        <v>7</v>
      </c>
      <c r="E1232" s="5" t="s">
        <v>321</v>
      </c>
    </row>
    <row r="1233" spans="1:5" x14ac:dyDescent="0.25">
      <c r="A1233" s="6">
        <v>1232</v>
      </c>
      <c r="B1233" s="6" t="str">
        <f>HYPERLINK("https://www.kmpharma.in/product/20506","N-Nitroso Methotrexate EP Impurity B")</f>
        <v>N-Nitroso Methotrexate EP Impurity B</v>
      </c>
      <c r="C1233" s="6" t="str">
        <f>HYPERLINK("https://www.kmpharma.in/product/20506","KMM018057")</f>
        <v>KMM018057</v>
      </c>
      <c r="D1233" s="6" t="s">
        <v>7</v>
      </c>
      <c r="E1233" s="7" t="s">
        <v>321</v>
      </c>
    </row>
    <row r="1234" spans="1:5" x14ac:dyDescent="0.25">
      <c r="A1234" s="3">
        <v>1233</v>
      </c>
      <c r="B1234" s="3" t="str">
        <f>HYPERLINK("https://www.kmpharma.in/product/20505","N-Nitroso Methotrexate EP Impurity B D6")</f>
        <v>N-Nitroso Methotrexate EP Impurity B D6</v>
      </c>
      <c r="C1234" s="3" t="str">
        <f>HYPERLINK("https://www.kmpharma.in/product/20505","KMM018058")</f>
        <v>KMM018058</v>
      </c>
      <c r="D1234" s="3" t="s">
        <v>7</v>
      </c>
      <c r="E1234" s="5" t="s">
        <v>321</v>
      </c>
    </row>
    <row r="1235" spans="1:5" x14ac:dyDescent="0.25">
      <c r="A1235" s="6">
        <v>1234</v>
      </c>
      <c r="B1235" s="6" t="str">
        <f>HYPERLINK("https://www.kmpharma.in/product/20517","N-Nitroso Methotrexate EP Impurity F")</f>
        <v>N-Nitroso Methotrexate EP Impurity F</v>
      </c>
      <c r="C1235" s="6" t="str">
        <f>HYPERLINK("https://www.kmpharma.in/product/20517","KMM018059")</f>
        <v>KMM018059</v>
      </c>
      <c r="D1235" s="6" t="s">
        <v>7</v>
      </c>
      <c r="E1235" s="7" t="s">
        <v>321</v>
      </c>
    </row>
    <row r="1236" spans="1:5" x14ac:dyDescent="0.25">
      <c r="A1236" s="3">
        <v>1235</v>
      </c>
      <c r="B1236" s="3" t="str">
        <f>HYPERLINK("https://www.kmpharma.in/product/20518","N-Nitroso Methotrexate EP Impurity L")</f>
        <v>N-Nitroso Methotrexate EP Impurity L</v>
      </c>
      <c r="C1236" s="3" t="str">
        <f>HYPERLINK("https://www.kmpharma.in/product/20518","KMM018060")</f>
        <v>KMM018060</v>
      </c>
      <c r="D1236" s="3" t="s">
        <v>7</v>
      </c>
      <c r="E1236" s="5" t="s">
        <v>321</v>
      </c>
    </row>
    <row r="1237" spans="1:5" x14ac:dyDescent="0.25">
      <c r="A1237" s="6">
        <v>1236</v>
      </c>
      <c r="B1237" s="6" t="str">
        <f>HYPERLINK("https://www.kmpharma.in/product/229","N-Nitroso Methotrexate EP Impurity-B")</f>
        <v>N-Nitroso Methotrexate EP Impurity-B</v>
      </c>
      <c r="C1237" s="6" t="str">
        <f>HYPERLINK("https://www.kmpharma.in/product/229","KMM018001")</f>
        <v>KMM018001</v>
      </c>
      <c r="D1237" s="6" t="s">
        <v>35</v>
      </c>
      <c r="E1237" s="7" t="s">
        <v>321</v>
      </c>
    </row>
    <row r="1238" spans="1:5" x14ac:dyDescent="0.25">
      <c r="A1238" s="3">
        <v>1237</v>
      </c>
      <c r="B1238" s="3" t="str">
        <f>HYPERLINK("https://www.kmpharma.in/product/20507","N-Nitroso Methotrexate EP Impurity-L")</f>
        <v>N-Nitroso Methotrexate EP Impurity-L</v>
      </c>
      <c r="C1238" s="3" t="str">
        <f>HYPERLINK("https://www.kmpharma.in/product/20507","KMM018061")</f>
        <v>KMM018061</v>
      </c>
      <c r="D1238" s="3" t="s">
        <v>7</v>
      </c>
      <c r="E1238" s="5" t="s">
        <v>321</v>
      </c>
    </row>
    <row r="1239" spans="1:5" x14ac:dyDescent="0.25">
      <c r="A1239" s="6">
        <v>1238</v>
      </c>
      <c r="B1239" s="6" t="str">
        <f>HYPERLINK("https://www.kmpharma.in/product/23998","N-Nitroso Methyl Orphenadrine")</f>
        <v>N-Nitroso Methyl Orphenadrine</v>
      </c>
      <c r="C1239" s="6" t="str">
        <f>HYPERLINK("https://www.kmpharma.in/product/23998","KMO040003")</f>
        <v>KMO040003</v>
      </c>
      <c r="D1239" s="6" t="s">
        <v>7</v>
      </c>
      <c r="E1239" s="7" t="s">
        <v>321</v>
      </c>
    </row>
    <row r="1240" spans="1:5" x14ac:dyDescent="0.25">
      <c r="A1240" s="3">
        <v>1239</v>
      </c>
      <c r="B1240" s="3" t="str">
        <f>HYPERLINK("https://www.kmpharma.in/product/23039","N-Nitroso Methyl Urea")</f>
        <v>N-Nitroso Methyl Urea</v>
      </c>
      <c r="C1240" s="3" t="str">
        <f>HYPERLINK("https://www.kmpharma.in/product/23039","KMN084062")</f>
        <v>KMN084062</v>
      </c>
      <c r="D1240" s="3" t="s">
        <v>156</v>
      </c>
      <c r="E1240" s="5" t="s">
        <v>321</v>
      </c>
    </row>
    <row r="1241" spans="1:5" x14ac:dyDescent="0.25">
      <c r="A1241" s="6">
        <v>1240</v>
      </c>
      <c r="B1241" s="6" t="str">
        <f>HYPERLINK("https://www.kmpharma.in/product/20608","N-Nitroso Methylphenidate")</f>
        <v>N-Nitroso Methylphenidate</v>
      </c>
      <c r="C1241" s="6" t="str">
        <f>HYPERLINK("https://www.kmpharma.in/product/20608","KMM114020")</f>
        <v>KMM114020</v>
      </c>
      <c r="D1241" s="6" t="s">
        <v>157</v>
      </c>
      <c r="E1241" s="7" t="s">
        <v>321</v>
      </c>
    </row>
    <row r="1242" spans="1:5" x14ac:dyDescent="0.25">
      <c r="A1242" s="3">
        <v>1241</v>
      </c>
      <c r="B1242" s="3" t="str">
        <f>HYPERLINK("https://www.kmpharma.in/product/20604","N-Nitroso Methylphenidate D10")</f>
        <v>N-Nitroso Methylphenidate D10</v>
      </c>
      <c r="C1242" s="3" t="str">
        <f>HYPERLINK("https://www.kmpharma.in/product/20604","KMM114021")</f>
        <v>KMM114021</v>
      </c>
      <c r="D1242" s="3" t="s">
        <v>7</v>
      </c>
      <c r="E1242" s="5" t="s">
        <v>321</v>
      </c>
    </row>
    <row r="1243" spans="1:5" x14ac:dyDescent="0.25">
      <c r="A1243" s="6">
        <v>1242</v>
      </c>
      <c r="B1243" s="6" t="str">
        <f>HYPERLINK("https://www.kmpharma.in/product/20605","N-Nitroso Methylphenidate D3")</f>
        <v>N-Nitroso Methylphenidate D3</v>
      </c>
      <c r="C1243" s="6" t="str">
        <f>HYPERLINK("https://www.kmpharma.in/product/20605","KMM114022")</f>
        <v>KMM114022</v>
      </c>
      <c r="D1243" s="6" t="s">
        <v>7</v>
      </c>
      <c r="E1243" s="7" t="s">
        <v>321</v>
      </c>
    </row>
    <row r="1244" spans="1:5" x14ac:dyDescent="0.25">
      <c r="A1244" s="3">
        <v>1243</v>
      </c>
      <c r="B1244" s="3" t="str">
        <f>HYPERLINK("https://www.kmpharma.in/product/20606","N-Nitroso Methylphenidate D5")</f>
        <v>N-Nitroso Methylphenidate D5</v>
      </c>
      <c r="C1244" s="3" t="str">
        <f>HYPERLINK("https://www.kmpharma.in/product/20606","KMM114023")</f>
        <v>KMM114023</v>
      </c>
      <c r="D1244" s="3" t="s">
        <v>7</v>
      </c>
      <c r="E1244" s="5" t="s">
        <v>321</v>
      </c>
    </row>
    <row r="1245" spans="1:5" x14ac:dyDescent="0.25">
      <c r="A1245" s="6">
        <v>1244</v>
      </c>
      <c r="B1245" s="6" t="str">
        <f>HYPERLINK("https://www.kmpharma.in/product/20609","N-Nitroso Methylphenidate EP Impurity A")</f>
        <v>N-Nitroso Methylphenidate EP Impurity A</v>
      </c>
      <c r="C1245" s="6" t="str">
        <f>HYPERLINK("https://www.kmpharma.in/product/20609","KMM114024")</f>
        <v>KMM114024</v>
      </c>
      <c r="D1245" s="6" t="s">
        <v>7</v>
      </c>
      <c r="E1245" s="7" t="s">
        <v>323</v>
      </c>
    </row>
    <row r="1246" spans="1:5" x14ac:dyDescent="0.25">
      <c r="A1246" s="3">
        <v>1245</v>
      </c>
      <c r="B1246" s="3" t="str">
        <f>HYPERLINK("https://www.kmpharma.in/product/20709","N-Nitroso Metoprolol")</f>
        <v>N-Nitroso Metoprolol</v>
      </c>
      <c r="C1246" s="3" t="str">
        <f>HYPERLINK("https://www.kmpharma.in/product/20709","KMM005052")</f>
        <v>KMM005052</v>
      </c>
      <c r="D1246" s="3" t="s">
        <v>158</v>
      </c>
      <c r="E1246" s="5" t="s">
        <v>321</v>
      </c>
    </row>
    <row r="1247" spans="1:5" x14ac:dyDescent="0.25">
      <c r="A1247" s="6">
        <v>1246</v>
      </c>
      <c r="B1247" s="6" t="str">
        <f>HYPERLINK("https://www.kmpharma.in/product/20710","N-Nitroso Metoprolol EP Impurity A")</f>
        <v>N-Nitroso Metoprolol EP Impurity A</v>
      </c>
      <c r="C1247" s="6" t="str">
        <f>HYPERLINK("https://www.kmpharma.in/product/20710","KMM005053")</f>
        <v>KMM005053</v>
      </c>
      <c r="D1247" s="6" t="s">
        <v>7</v>
      </c>
      <c r="E1247" s="7" t="s">
        <v>321</v>
      </c>
    </row>
    <row r="1248" spans="1:5" x14ac:dyDescent="0.25">
      <c r="A1248" s="3">
        <v>1247</v>
      </c>
      <c r="B1248" s="3" t="str">
        <f>HYPERLINK("https://www.kmpharma.in/product/20711","N-Nitroso Metoprolol EP Impurity C")</f>
        <v>N-Nitroso Metoprolol EP Impurity C</v>
      </c>
      <c r="C1248" s="3" t="str">
        <f>HYPERLINK("https://www.kmpharma.in/product/20711","KMM005054")</f>
        <v>KMM005054</v>
      </c>
      <c r="D1248" s="3" t="s">
        <v>7</v>
      </c>
      <c r="E1248" s="5" t="s">
        <v>321</v>
      </c>
    </row>
    <row r="1249" spans="1:5" x14ac:dyDescent="0.25">
      <c r="A1249" s="6">
        <v>1248</v>
      </c>
      <c r="B1249" s="6" t="str">
        <f>HYPERLINK("https://www.kmpharma.in/product/20700","N-Nitroso Metoprolol EP Impurity E")</f>
        <v>N-Nitroso Metoprolol EP Impurity E</v>
      </c>
      <c r="C1249" s="6" t="str">
        <f>HYPERLINK("https://www.kmpharma.in/product/20700","KMM005055")</f>
        <v>KMM005055</v>
      </c>
      <c r="D1249" s="6" t="s">
        <v>7</v>
      </c>
      <c r="E1249" s="7" t="s">
        <v>321</v>
      </c>
    </row>
    <row r="1250" spans="1:5" x14ac:dyDescent="0.25">
      <c r="A1250" s="3">
        <v>1249</v>
      </c>
      <c r="B1250" s="3" t="str">
        <f>HYPERLINK("https://www.kmpharma.in/product/20705","N-Nitroso Metoprolol EP Impurity F")</f>
        <v>N-Nitroso Metoprolol EP Impurity F</v>
      </c>
      <c r="C1250" s="3" t="str">
        <f>HYPERLINK("https://www.kmpharma.in/product/20705","KMM005056")</f>
        <v>KMM005056</v>
      </c>
      <c r="D1250" s="3" t="s">
        <v>7</v>
      </c>
      <c r="E1250" s="5" t="s">
        <v>321</v>
      </c>
    </row>
    <row r="1251" spans="1:5" x14ac:dyDescent="0.25">
      <c r="A1251" s="6">
        <v>1250</v>
      </c>
      <c r="B1251" s="6" t="str">
        <f>HYPERLINK("https://www.kmpharma.in/product/20701","N-Nitroso Metoprolol EP Impurity H")</f>
        <v>N-Nitroso Metoprolol EP Impurity H</v>
      </c>
      <c r="C1251" s="6" t="str">
        <f>HYPERLINK("https://www.kmpharma.in/product/20701","KMM005057")</f>
        <v>KMM005057</v>
      </c>
      <c r="D1251" s="6" t="s">
        <v>7</v>
      </c>
      <c r="E1251" s="6" t="s">
        <v>16</v>
      </c>
    </row>
    <row r="1252" spans="1:5" x14ac:dyDescent="0.25">
      <c r="A1252" s="3">
        <v>1251</v>
      </c>
      <c r="B1252" s="3" t="str">
        <f>HYPERLINK("https://www.kmpharma.in/product/20702","N-Nitroso Metoprolol EP Impurity J")</f>
        <v>N-Nitroso Metoprolol EP Impurity J</v>
      </c>
      <c r="C1252" s="3" t="str">
        <f>HYPERLINK("https://www.kmpharma.in/product/20702","KMM005058")</f>
        <v>KMM005058</v>
      </c>
      <c r="D1252" s="3" t="s">
        <v>7</v>
      </c>
      <c r="E1252" s="5" t="s">
        <v>321</v>
      </c>
    </row>
    <row r="1253" spans="1:5" x14ac:dyDescent="0.25">
      <c r="A1253" s="6">
        <v>1252</v>
      </c>
      <c r="B1253" s="6" t="str">
        <f>HYPERLINK("https://www.kmpharma.in/product/20703","N-Nitroso Metoprolol Impurity T")</f>
        <v>N-Nitroso Metoprolol Impurity T</v>
      </c>
      <c r="C1253" s="6" t="str">
        <f>HYPERLINK("https://www.kmpharma.in/product/20703","KMM005059")</f>
        <v>KMM005059</v>
      </c>
      <c r="D1253" s="6" t="s">
        <v>7</v>
      </c>
      <c r="E1253" s="7" t="s">
        <v>323</v>
      </c>
    </row>
    <row r="1254" spans="1:5" x14ac:dyDescent="0.25">
      <c r="A1254" s="3">
        <v>1253</v>
      </c>
      <c r="B1254" s="3" t="str">
        <f>HYPERLINK("https://www.kmpharma.in/product/20738","N-Nitroso Metronidazole EP Impurity A")</f>
        <v>N-Nitroso Metronidazole EP Impurity A</v>
      </c>
      <c r="C1254" s="3" t="str">
        <f>HYPERLINK("https://www.kmpharma.in/product/20738","KMM122026")</f>
        <v>KMM122026</v>
      </c>
      <c r="D1254" s="3" t="s">
        <v>7</v>
      </c>
      <c r="E1254" s="3" t="s">
        <v>16</v>
      </c>
    </row>
    <row r="1255" spans="1:5" x14ac:dyDescent="0.25">
      <c r="A1255" s="6">
        <v>1254</v>
      </c>
      <c r="B1255" s="6" t="str">
        <f>HYPERLINK("https://www.kmpharma.in/product/20739","N-Nitroso Metronidazole EP Impurity B")</f>
        <v>N-Nitroso Metronidazole EP Impurity B</v>
      </c>
      <c r="C1255" s="6" t="str">
        <f>HYPERLINK("https://www.kmpharma.in/product/20739","KMM122027")</f>
        <v>KMM122027</v>
      </c>
      <c r="D1255" s="6" t="s">
        <v>7</v>
      </c>
      <c r="E1255" s="6" t="s">
        <v>16</v>
      </c>
    </row>
    <row r="1256" spans="1:5" x14ac:dyDescent="0.25">
      <c r="A1256" s="3">
        <v>1255</v>
      </c>
      <c r="B1256" s="3" t="str">
        <f>HYPERLINK("https://www.kmpharma.in/product/20766","N-Nitroso Mianserin Impurity 1")</f>
        <v>N-Nitroso Mianserin Impurity 1</v>
      </c>
      <c r="C1256" s="3" t="str">
        <f>HYPERLINK("https://www.kmpharma.in/product/20766","KMM125008")</f>
        <v>KMM125008</v>
      </c>
      <c r="D1256" s="3" t="s">
        <v>7</v>
      </c>
      <c r="E1256" s="3" t="s">
        <v>16</v>
      </c>
    </row>
    <row r="1257" spans="1:5" x14ac:dyDescent="0.25">
      <c r="A1257" s="6">
        <v>1256</v>
      </c>
      <c r="B1257" s="6" t="str">
        <f>HYPERLINK("https://www.kmpharma.in/product/36892","N-Nitroso Midazolam EP Impurity A")</f>
        <v>N-Nitroso Midazolam EP Impurity A</v>
      </c>
      <c r="C1257" s="6" t="str">
        <f>HYPERLINK("https://www.kmpharma.in/product/36892","KMM128036")</f>
        <v>KMM128036</v>
      </c>
      <c r="D1257" s="6" t="s">
        <v>159</v>
      </c>
      <c r="E1257" s="7" t="s">
        <v>321</v>
      </c>
    </row>
    <row r="1258" spans="1:5" x14ac:dyDescent="0.25">
      <c r="A1258" s="3">
        <v>1257</v>
      </c>
      <c r="B1258" s="3" t="str">
        <f>HYPERLINK("https://www.kmpharma.in/product/36899","N-Nitroso Midazolam EP Impurity E")</f>
        <v>N-Nitroso Midazolam EP Impurity E</v>
      </c>
      <c r="C1258" s="3" t="str">
        <f>HYPERLINK("https://www.kmpharma.in/product/36899","KMM128037")</f>
        <v>KMM128037</v>
      </c>
      <c r="D1258" s="3" t="s">
        <v>7</v>
      </c>
      <c r="E1258" s="3" t="s">
        <v>16</v>
      </c>
    </row>
    <row r="1259" spans="1:5" x14ac:dyDescent="0.25">
      <c r="A1259" s="6">
        <v>1258</v>
      </c>
      <c r="B1259" s="6" t="str">
        <f>HYPERLINK("https://www.kmpharma.in/product/36893","N-Nitroso Midazolam EP Impurity J")</f>
        <v>N-Nitroso Midazolam EP Impurity J</v>
      </c>
      <c r="C1259" s="6" t="str">
        <f>HYPERLINK("https://www.kmpharma.in/product/36893","KMM128038")</f>
        <v>KMM128038</v>
      </c>
      <c r="D1259" s="6" t="s">
        <v>7</v>
      </c>
      <c r="E1259" s="7" t="s">
        <v>322</v>
      </c>
    </row>
    <row r="1260" spans="1:5" x14ac:dyDescent="0.25">
      <c r="A1260" s="3">
        <v>1259</v>
      </c>
      <c r="B1260" s="3" t="str">
        <f>HYPERLINK("https://www.kmpharma.in/product/36898","N-Nitroso Midazolam Nitromethylene Compound")</f>
        <v>N-Nitroso Midazolam Nitromethylene Compound</v>
      </c>
      <c r="C1260" s="3" t="str">
        <f>HYPERLINK("https://www.kmpharma.in/product/36898","KMM128039")</f>
        <v>KMM128039</v>
      </c>
      <c r="D1260" s="3" t="s">
        <v>7</v>
      </c>
      <c r="E1260" s="3" t="s">
        <v>16</v>
      </c>
    </row>
    <row r="1261" spans="1:5" x14ac:dyDescent="0.25">
      <c r="A1261" s="6">
        <v>1260</v>
      </c>
      <c r="B1261" s="6" t="str">
        <f>HYPERLINK("https://www.kmpharma.in/product/20834","N-Nitroso Midodrine Impurity")</f>
        <v>N-Nitroso Midodrine Impurity</v>
      </c>
      <c r="C1261" s="6" t="str">
        <f>HYPERLINK("https://www.kmpharma.in/product/20834","KMM129022")</f>
        <v>KMM129022</v>
      </c>
      <c r="D1261" s="6" t="s">
        <v>7</v>
      </c>
      <c r="E1261" s="7" t="s">
        <v>321</v>
      </c>
    </row>
    <row r="1262" spans="1:5" x14ac:dyDescent="0.25">
      <c r="A1262" s="3">
        <v>1261</v>
      </c>
      <c r="B1262" s="3" t="str">
        <f>HYPERLINK("https://www.kmpharma.in/product/20918","N-Nitroso Miglustat Impurity 1")</f>
        <v>N-Nitroso Miglustat Impurity 1</v>
      </c>
      <c r="C1262" s="3" t="str">
        <f>HYPERLINK("https://www.kmpharma.in/product/20918","KMM134018")</f>
        <v>KMM134018</v>
      </c>
      <c r="D1262" s="3" t="s">
        <v>7</v>
      </c>
      <c r="E1262" s="3" t="s">
        <v>16</v>
      </c>
    </row>
    <row r="1263" spans="1:5" x14ac:dyDescent="0.25">
      <c r="A1263" s="6">
        <v>1262</v>
      </c>
      <c r="B1263" s="6" t="str">
        <f>HYPERLINK("https://www.kmpharma.in/product/193","N-Nitroso Mirabegron")</f>
        <v>N-Nitroso Mirabegron</v>
      </c>
      <c r="C1263" s="6" t="str">
        <f>HYPERLINK("https://www.kmpharma.in/product/193","KMM003001")</f>
        <v>KMM003001</v>
      </c>
      <c r="D1263" s="6" t="s">
        <v>35</v>
      </c>
      <c r="E1263" s="7" t="s">
        <v>321</v>
      </c>
    </row>
    <row r="1264" spans="1:5" x14ac:dyDescent="0.25">
      <c r="A1264" s="3">
        <v>1263</v>
      </c>
      <c r="B1264" s="3" t="str">
        <f>HYPERLINK("https://www.kmpharma.in/product/36908","N-Nitroso Mirabegron")</f>
        <v>N-Nitroso Mirabegron</v>
      </c>
      <c r="C1264" s="3" t="str">
        <f>HYPERLINK("https://www.kmpharma.in/product/36908","KMM003108")</f>
        <v>KMM003108</v>
      </c>
      <c r="D1264" s="3" t="s">
        <v>160</v>
      </c>
      <c r="E1264" s="5" t="s">
        <v>321</v>
      </c>
    </row>
    <row r="1265" spans="1:5" x14ac:dyDescent="0.25">
      <c r="A1265" s="6">
        <v>1264</v>
      </c>
      <c r="B1265" s="6" t="str">
        <f>HYPERLINK("https://www.kmpharma.in/product/21137","N-Nitroso Mirabegron D5")</f>
        <v>N-Nitroso Mirabegron D5</v>
      </c>
      <c r="C1265" s="6" t="str">
        <f>HYPERLINK("https://www.kmpharma.in/product/21137","KMM003109")</f>
        <v>KMM003109</v>
      </c>
      <c r="D1265" s="6" t="s">
        <v>7</v>
      </c>
      <c r="E1265" s="7" t="s">
        <v>321</v>
      </c>
    </row>
    <row r="1266" spans="1:5" x14ac:dyDescent="0.25">
      <c r="A1266" s="3">
        <v>1265</v>
      </c>
      <c r="B1266" s="3" t="str">
        <f>HYPERLINK("https://www.kmpharma.in/product/21139","N-Nitroso Mirabegron EP Impurity B")</f>
        <v>N-Nitroso Mirabegron EP Impurity B</v>
      </c>
      <c r="C1266" s="3" t="str">
        <f>HYPERLINK("https://www.kmpharma.in/product/21139","KMM003110")</f>
        <v>KMM003110</v>
      </c>
      <c r="D1266" s="3" t="s">
        <v>161</v>
      </c>
      <c r="E1266" s="5" t="s">
        <v>321</v>
      </c>
    </row>
    <row r="1267" spans="1:5" x14ac:dyDescent="0.25">
      <c r="A1267" s="6">
        <v>1266</v>
      </c>
      <c r="B1267" s="6" t="str">
        <f>HYPERLINK("https://www.kmpharma.in/product/21141","N-Nitroso Mirabegron EP Impurity C")</f>
        <v>N-Nitroso Mirabegron EP Impurity C</v>
      </c>
      <c r="C1267" s="6" t="str">
        <f>HYPERLINK("https://www.kmpharma.in/product/21141","KMM003111")</f>
        <v>KMM003111</v>
      </c>
      <c r="D1267" s="6" t="s">
        <v>7</v>
      </c>
      <c r="E1267" s="7" t="s">
        <v>321</v>
      </c>
    </row>
    <row r="1268" spans="1:5" x14ac:dyDescent="0.25">
      <c r="A1268" s="3">
        <v>1267</v>
      </c>
      <c r="B1268" s="3" t="str">
        <f>HYPERLINK("https://www.kmpharma.in/product/21142","N-Nitroso Mirabegron EP Impurity D")</f>
        <v>N-Nitroso Mirabegron EP Impurity D</v>
      </c>
      <c r="C1268" s="3" t="str">
        <f>HYPERLINK("https://www.kmpharma.in/product/21142","KMM003112")</f>
        <v>KMM003112</v>
      </c>
      <c r="D1268" s="3" t="s">
        <v>7</v>
      </c>
      <c r="E1268" s="5" t="s">
        <v>321</v>
      </c>
    </row>
    <row r="1269" spans="1:5" x14ac:dyDescent="0.25">
      <c r="A1269" s="6">
        <v>1268</v>
      </c>
      <c r="B1269" s="6" t="str">
        <f>HYPERLINK("https://www.kmpharma.in/product/21147","N-Nitroso Mirabegron Stage-1 Impurity")</f>
        <v>N-Nitroso Mirabegron Stage-1 Impurity</v>
      </c>
      <c r="C1269" s="6" t="str">
        <f>HYPERLINK("https://www.kmpharma.in/product/21147","KMM003113")</f>
        <v>KMM003113</v>
      </c>
      <c r="D1269" s="6" t="s">
        <v>7</v>
      </c>
      <c r="E1269" s="7" t="s">
        <v>321</v>
      </c>
    </row>
    <row r="1270" spans="1:5" x14ac:dyDescent="0.25">
      <c r="A1270" s="3">
        <v>1269</v>
      </c>
      <c r="B1270" s="3" t="str">
        <f>HYPERLINK("https://www.kmpharma.in/product/21196","N-Nitroso Mirtazapine EP Impurity D")</f>
        <v>N-Nitroso Mirtazapine EP Impurity D</v>
      </c>
      <c r="C1270" s="3" t="str">
        <f>HYPERLINK("https://www.kmpharma.in/product/21196","KMM020031")</f>
        <v>KMM020031</v>
      </c>
      <c r="D1270" s="3" t="s">
        <v>7</v>
      </c>
      <c r="E1270" s="5" t="s">
        <v>323</v>
      </c>
    </row>
    <row r="1271" spans="1:5" x14ac:dyDescent="0.25">
      <c r="A1271" s="6">
        <v>1270</v>
      </c>
      <c r="B1271" s="6" t="str">
        <f>HYPERLINK("https://www.kmpharma.in/product/21266","N-Nitroso Mitoxantrone Impurity 1")</f>
        <v>N-Nitroso Mitoxantrone Impurity 1</v>
      </c>
      <c r="C1271" s="6" t="str">
        <f>HYPERLINK("https://www.kmpharma.in/product/21266","KMM150008")</f>
        <v>KMM150008</v>
      </c>
      <c r="D1271" s="6" t="s">
        <v>7</v>
      </c>
      <c r="E1271" s="7" t="s">
        <v>321</v>
      </c>
    </row>
    <row r="1272" spans="1:5" x14ac:dyDescent="0.25">
      <c r="A1272" s="3">
        <v>1271</v>
      </c>
      <c r="B1272" s="3" t="str">
        <f>HYPERLINK("https://www.kmpharma.in/product/21267","N-Nitroso Mitoxantrone Impurity 2")</f>
        <v>N-Nitroso Mitoxantrone Impurity 2</v>
      </c>
      <c r="C1272" s="3" t="str">
        <f>HYPERLINK("https://www.kmpharma.in/product/21267","KMM150009")</f>
        <v>KMM150009</v>
      </c>
      <c r="D1272" s="3" t="s">
        <v>7</v>
      </c>
      <c r="E1272" s="3" t="s">
        <v>16</v>
      </c>
    </row>
    <row r="1273" spans="1:5" x14ac:dyDescent="0.25">
      <c r="A1273" s="6">
        <v>1272</v>
      </c>
      <c r="B1273" s="6" t="str">
        <f>HYPERLINK("https://www.kmpharma.in/product/21303","N-Nitroso Mobocertinib Impurity 1")</f>
        <v>N-Nitroso Mobocertinib Impurity 1</v>
      </c>
      <c r="C1273" s="6" t="str">
        <f>HYPERLINK("https://www.kmpharma.in/product/21303","KMM153011")</f>
        <v>KMM153011</v>
      </c>
      <c r="D1273" s="6" t="s">
        <v>7</v>
      </c>
      <c r="E1273" s="7" t="s">
        <v>321</v>
      </c>
    </row>
    <row r="1274" spans="1:5" x14ac:dyDescent="0.25">
      <c r="A1274" s="3">
        <v>1273</v>
      </c>
      <c r="B1274" s="3" t="str">
        <f>HYPERLINK("https://www.kmpharma.in/product/21304","N-Nitroso Mobocertinib Impurity 2")</f>
        <v>N-Nitroso Mobocertinib Impurity 2</v>
      </c>
      <c r="C1274" s="3" t="str">
        <f>HYPERLINK("https://www.kmpharma.in/product/21304","KMM153012")</f>
        <v>KMM153012</v>
      </c>
      <c r="D1274" s="3" t="s">
        <v>7</v>
      </c>
      <c r="E1274" s="3" t="s">
        <v>16</v>
      </c>
    </row>
    <row r="1275" spans="1:5" x14ac:dyDescent="0.25">
      <c r="A1275" s="6">
        <v>1274</v>
      </c>
      <c r="B1275" s="6" t="str">
        <f>HYPERLINK("https://www.kmpharma.in/product/21307","N-Nitroso Mobocertinib Impurity 3")</f>
        <v>N-Nitroso Mobocertinib Impurity 3</v>
      </c>
      <c r="C1275" s="6" t="str">
        <f>HYPERLINK("https://www.kmpharma.in/product/21307","KMM153013")</f>
        <v>KMM153013</v>
      </c>
      <c r="D1275" s="6" t="s">
        <v>7</v>
      </c>
      <c r="E1275" s="7" t="s">
        <v>321</v>
      </c>
    </row>
    <row r="1276" spans="1:5" x14ac:dyDescent="0.25">
      <c r="A1276" s="3">
        <v>1275</v>
      </c>
      <c r="B1276" s="3" t="str">
        <f>HYPERLINK("https://www.kmpharma.in/product/21305","N-Nitroso Mobocertinib Impurity 4")</f>
        <v>N-Nitroso Mobocertinib Impurity 4</v>
      </c>
      <c r="C1276" s="3" t="str">
        <f>HYPERLINK("https://www.kmpharma.in/product/21305","KMM153014")</f>
        <v>KMM153014</v>
      </c>
      <c r="D1276" s="3" t="s">
        <v>7</v>
      </c>
      <c r="E1276" s="3" t="s">
        <v>16</v>
      </c>
    </row>
    <row r="1277" spans="1:5" x14ac:dyDescent="0.25">
      <c r="A1277" s="6">
        <v>1276</v>
      </c>
      <c r="B1277" s="6" t="str">
        <f>HYPERLINK("https://www.kmpharma.in/product/21306","N-Nitroso Mobocertinib Impurity 5")</f>
        <v>N-Nitroso Mobocertinib Impurity 5</v>
      </c>
      <c r="C1277" s="6" t="str">
        <f>HYPERLINK("https://www.kmpharma.in/product/21306","KMM153015")</f>
        <v>KMM153015</v>
      </c>
      <c r="D1277" s="6" t="s">
        <v>7</v>
      </c>
      <c r="E1277" s="7" t="s">
        <v>321</v>
      </c>
    </row>
    <row r="1278" spans="1:5" x14ac:dyDescent="0.25">
      <c r="A1278" s="3">
        <v>1277</v>
      </c>
      <c r="B1278" s="3" t="str">
        <f>HYPERLINK("https://www.kmpharma.in/product/21308","N-Nitroso Mobocertinib Impurity 6")</f>
        <v>N-Nitroso Mobocertinib Impurity 6</v>
      </c>
      <c r="C1278" s="3" t="str">
        <f>HYPERLINK("https://www.kmpharma.in/product/21308","KMM153016")</f>
        <v>KMM153016</v>
      </c>
      <c r="D1278" s="3" t="s">
        <v>7</v>
      </c>
      <c r="E1278" s="5" t="s">
        <v>323</v>
      </c>
    </row>
    <row r="1279" spans="1:5" x14ac:dyDescent="0.25">
      <c r="A1279" s="6">
        <v>1278</v>
      </c>
      <c r="B1279" s="6" t="str">
        <f>HYPERLINK("https://www.kmpharma.in/product/21309","N-Nitroso Mobocertinib Impurity 7")</f>
        <v>N-Nitroso Mobocertinib Impurity 7</v>
      </c>
      <c r="C1279" s="6" t="str">
        <f>HYPERLINK("https://www.kmpharma.in/product/21309","KMM153017")</f>
        <v>KMM153017</v>
      </c>
      <c r="D1279" s="6" t="s">
        <v>7</v>
      </c>
      <c r="E1279" s="6" t="s">
        <v>16</v>
      </c>
    </row>
    <row r="1280" spans="1:5" x14ac:dyDescent="0.25">
      <c r="A1280" s="3">
        <v>1279</v>
      </c>
      <c r="B1280" s="3" t="str">
        <f>HYPERLINK("https://www.kmpharma.in/product/21339","N-Nitroso Moexipril")</f>
        <v>N-Nitroso Moexipril</v>
      </c>
      <c r="C1280" s="3" t="str">
        <f>HYPERLINK("https://www.kmpharma.in/product/21339","KMM156013")</f>
        <v>KMM156013</v>
      </c>
      <c r="D1280" s="3" t="s">
        <v>162</v>
      </c>
      <c r="E1280" s="3" t="s">
        <v>16</v>
      </c>
    </row>
    <row r="1281" spans="1:5" x14ac:dyDescent="0.25">
      <c r="A1281" s="6">
        <v>1280</v>
      </c>
      <c r="B1281" s="6" t="str">
        <f>HYPERLINK("https://www.kmpharma.in/product/21343","N-Nitroso Moexipril USP Related Compound C")</f>
        <v>N-Nitroso Moexipril USP Related Compound C</v>
      </c>
      <c r="C1281" s="6" t="str">
        <f>HYPERLINK("https://www.kmpharma.in/product/21343","KMM156014")</f>
        <v>KMM156014</v>
      </c>
      <c r="D1281" s="6" t="s">
        <v>7</v>
      </c>
      <c r="E1281" s="7" t="s">
        <v>321</v>
      </c>
    </row>
    <row r="1282" spans="1:5" x14ac:dyDescent="0.25">
      <c r="A1282" s="3">
        <v>1281</v>
      </c>
      <c r="B1282" s="3" t="str">
        <f>HYPERLINK("https://www.kmpharma.in/product/21344","N-Nitroso Moexipril USP Related Compound E")</f>
        <v>N-Nitroso Moexipril USP Related Compound E</v>
      </c>
      <c r="C1282" s="3" t="str">
        <f>HYPERLINK("https://www.kmpharma.in/product/21344","KMM156015")</f>
        <v>KMM156015</v>
      </c>
      <c r="D1282" s="3" t="s">
        <v>7</v>
      </c>
      <c r="E1282" s="3" t="s">
        <v>16</v>
      </c>
    </row>
    <row r="1283" spans="1:5" x14ac:dyDescent="0.25">
      <c r="A1283" s="6">
        <v>1282</v>
      </c>
      <c r="B1283" s="6" t="str">
        <f>HYPERLINK("https://www.kmpharma.in/product/21519","N-Nitroso Morniflumate")</f>
        <v>N-Nitroso Morniflumate</v>
      </c>
      <c r="C1283" s="6" t="str">
        <f>HYPERLINK("https://www.kmpharma.in/product/21519","KMM166003")</f>
        <v>KMM166003</v>
      </c>
      <c r="D1283" s="6" t="s">
        <v>7</v>
      </c>
      <c r="E1283" s="7" t="s">
        <v>323</v>
      </c>
    </row>
    <row r="1284" spans="1:5" x14ac:dyDescent="0.25">
      <c r="A1284" s="3">
        <v>1283</v>
      </c>
      <c r="B1284" s="3" t="str">
        <f>HYPERLINK("https://www.kmpharma.in/product/21636","N-Nitroso Moxifloxacin")</f>
        <v>N-Nitroso Moxifloxacin</v>
      </c>
      <c r="C1284" s="3" t="str">
        <f>HYPERLINK("https://www.kmpharma.in/product/21636","KMM171060")</f>
        <v>KMM171060</v>
      </c>
      <c r="D1284" s="3" t="s">
        <v>7</v>
      </c>
      <c r="E1284" s="5" t="s">
        <v>324</v>
      </c>
    </row>
    <row r="1285" spans="1:5" x14ac:dyDescent="0.25">
      <c r="A1285" s="6">
        <v>1284</v>
      </c>
      <c r="B1285" s="6" t="str">
        <f>HYPERLINK("https://www.kmpharma.in/product/21627","N-Nitroso Moxifloxacin D3 (possibility 1)")</f>
        <v>N-Nitroso Moxifloxacin D3 (possibility 1)</v>
      </c>
      <c r="C1285" s="6" t="str">
        <f>HYPERLINK("https://www.kmpharma.in/product/21627","KMM171061")</f>
        <v>KMM171061</v>
      </c>
      <c r="D1285" s="6" t="s">
        <v>7</v>
      </c>
      <c r="E1285" s="7" t="s">
        <v>321</v>
      </c>
    </row>
    <row r="1286" spans="1:5" x14ac:dyDescent="0.25">
      <c r="A1286" s="3">
        <v>1285</v>
      </c>
      <c r="B1286" s="3" t="str">
        <f>HYPERLINK("https://www.kmpharma.in/product/21628","N-Nitroso Moxifloxacin D3 (possibility 2)")</f>
        <v>N-Nitroso Moxifloxacin D3 (possibility 2)</v>
      </c>
      <c r="C1286" s="3" t="str">
        <f>HYPERLINK("https://www.kmpharma.in/product/21628","KMM171062")</f>
        <v>KMM171062</v>
      </c>
      <c r="D1286" s="3" t="s">
        <v>7</v>
      </c>
      <c r="E1286" s="5" t="s">
        <v>321</v>
      </c>
    </row>
    <row r="1287" spans="1:5" x14ac:dyDescent="0.25">
      <c r="A1287" s="6">
        <v>1286</v>
      </c>
      <c r="B1287" s="6" t="str">
        <f>HYPERLINK("https://www.kmpharma.in/product/21642","N-Nitroso Moxifloxacin EP Impurity A")</f>
        <v>N-Nitroso Moxifloxacin EP Impurity A</v>
      </c>
      <c r="C1287" s="6" t="str">
        <f>HYPERLINK("https://www.kmpharma.in/product/21642","KMM171063")</f>
        <v>KMM171063</v>
      </c>
      <c r="D1287" s="6" t="s">
        <v>7</v>
      </c>
      <c r="E1287" s="7" t="s">
        <v>321</v>
      </c>
    </row>
    <row r="1288" spans="1:5" x14ac:dyDescent="0.25">
      <c r="A1288" s="3">
        <v>1287</v>
      </c>
      <c r="B1288" s="3" t="str">
        <f>HYPERLINK("https://www.kmpharma.in/product/21643","N-Nitroso Moxifloxacin EP Impurity B")</f>
        <v>N-Nitroso Moxifloxacin EP Impurity B</v>
      </c>
      <c r="C1288" s="3" t="str">
        <f>HYPERLINK("https://www.kmpharma.in/product/21643","KMM171064")</f>
        <v>KMM171064</v>
      </c>
      <c r="D1288" s="3" t="s">
        <v>7</v>
      </c>
      <c r="E1288" s="5" t="s">
        <v>321</v>
      </c>
    </row>
    <row r="1289" spans="1:5" x14ac:dyDescent="0.25">
      <c r="A1289" s="6">
        <v>1288</v>
      </c>
      <c r="B1289" s="6" t="str">
        <f>HYPERLINK("https://www.kmpharma.in/product/21644","N-Nitroso Moxifloxacin EP Impurity C")</f>
        <v>N-Nitroso Moxifloxacin EP Impurity C</v>
      </c>
      <c r="C1289" s="6" t="str">
        <f>HYPERLINK("https://www.kmpharma.in/product/21644","KMM171065")</f>
        <v>KMM171065</v>
      </c>
      <c r="D1289" s="6" t="s">
        <v>7</v>
      </c>
      <c r="E1289" s="7" t="s">
        <v>321</v>
      </c>
    </row>
    <row r="1290" spans="1:5" x14ac:dyDescent="0.25">
      <c r="A1290" s="3">
        <v>1289</v>
      </c>
      <c r="B1290" s="3" t="str">
        <f>HYPERLINK("https://www.kmpharma.in/product/21645","N-Nitroso Moxifloxacin EP Impurity D")</f>
        <v>N-Nitroso Moxifloxacin EP Impurity D</v>
      </c>
      <c r="C1290" s="3" t="str">
        <f>HYPERLINK("https://www.kmpharma.in/product/21645","KMM171066")</f>
        <v>KMM171066</v>
      </c>
      <c r="D1290" s="3" t="s">
        <v>7</v>
      </c>
      <c r="E1290" s="5" t="s">
        <v>321</v>
      </c>
    </row>
    <row r="1291" spans="1:5" x14ac:dyDescent="0.25">
      <c r="A1291" s="6">
        <v>1290</v>
      </c>
      <c r="B1291" s="6" t="str">
        <f>HYPERLINK("https://www.kmpharma.in/product/21621","N-Nitroso Moxifloxacin EP Impurity E")</f>
        <v>N-Nitroso Moxifloxacin EP Impurity E</v>
      </c>
      <c r="C1291" s="6" t="str">
        <f>HYPERLINK("https://www.kmpharma.in/product/21621","KMM171067")</f>
        <v>KMM171067</v>
      </c>
      <c r="D1291" s="6" t="s">
        <v>7</v>
      </c>
      <c r="E1291" s="7" t="s">
        <v>321</v>
      </c>
    </row>
    <row r="1292" spans="1:5" x14ac:dyDescent="0.25">
      <c r="A1292" s="3">
        <v>1291</v>
      </c>
      <c r="B1292" s="3" t="str">
        <f>HYPERLINK("https://www.kmpharma.in/product/21646","N-Nitroso Moxifloxacin EP Impurity G")</f>
        <v>N-Nitroso Moxifloxacin EP Impurity G</v>
      </c>
      <c r="C1292" s="3" t="str">
        <f>HYPERLINK("https://www.kmpharma.in/product/21646","KMM171068")</f>
        <v>KMM171068</v>
      </c>
      <c r="D1292" s="3" t="s">
        <v>7</v>
      </c>
      <c r="E1292" s="5" t="s">
        <v>321</v>
      </c>
    </row>
    <row r="1293" spans="1:5" x14ac:dyDescent="0.25">
      <c r="A1293" s="6">
        <v>1292</v>
      </c>
      <c r="B1293" s="6" t="str">
        <f>HYPERLINK("https://www.kmpharma.in/product/21662","N-Nitroso Moxonidine Impurity 3")</f>
        <v>N-Nitroso Moxonidine Impurity 3</v>
      </c>
      <c r="C1293" s="6" t="str">
        <f>HYPERLINK("https://www.kmpharma.in/product/21662","KMM173015")</f>
        <v>KMM173015</v>
      </c>
      <c r="D1293" s="6" t="s">
        <v>7</v>
      </c>
      <c r="E1293" s="7" t="s">
        <v>321</v>
      </c>
    </row>
    <row r="1294" spans="1:5" x14ac:dyDescent="0.25">
      <c r="A1294" s="3">
        <v>1293</v>
      </c>
      <c r="B1294" s="3" t="str">
        <f>HYPERLINK("https://www.kmpharma.in/product/21663","N-Nitroso Moxonidine Impurity 4")</f>
        <v>N-Nitroso Moxonidine Impurity 4</v>
      </c>
      <c r="C1294" s="3" t="str">
        <f>HYPERLINK("https://www.kmpharma.in/product/21663","KMM173016")</f>
        <v>KMM173016</v>
      </c>
      <c r="D1294" s="3" t="s">
        <v>7</v>
      </c>
      <c r="E1294" s="5" t="s">
        <v>321</v>
      </c>
    </row>
    <row r="1295" spans="1:5" x14ac:dyDescent="0.25">
      <c r="A1295" s="6">
        <v>1294</v>
      </c>
      <c r="B1295" s="6" t="str">
        <f>HYPERLINK("https://www.kmpharma.in/product/21664","N-Nitroso Moxonidine Impurity 5")</f>
        <v>N-Nitroso Moxonidine Impurity 5</v>
      </c>
      <c r="C1295" s="6" t="str">
        <f>HYPERLINK("https://www.kmpharma.in/product/21664","KMM173017")</f>
        <v>KMM173017</v>
      </c>
      <c r="D1295" s="6" t="s">
        <v>7</v>
      </c>
      <c r="E1295" s="7" t="s">
        <v>323</v>
      </c>
    </row>
    <row r="1296" spans="1:5" x14ac:dyDescent="0.25">
      <c r="A1296" s="3">
        <v>1295</v>
      </c>
      <c r="B1296" s="3" t="str">
        <f>HYPERLINK("https://www.kmpharma.in/product/238","N-Nitroso MRB-II")</f>
        <v>N-Nitroso MRB-II</v>
      </c>
      <c r="C1296" s="3" t="str">
        <f>HYPERLINK("https://www.kmpharma.in/product/238","KMM003002")</f>
        <v>KMM003002</v>
      </c>
      <c r="D1296" s="3" t="s">
        <v>163</v>
      </c>
      <c r="E1296" s="5" t="s">
        <v>321</v>
      </c>
    </row>
    <row r="1297" spans="1:5" x14ac:dyDescent="0.25">
      <c r="A1297" s="6">
        <v>1296</v>
      </c>
      <c r="B1297" s="6" t="str">
        <f>HYPERLINK("https://www.kmpharma.in/product/239","N-Nitroso MRB-III")</f>
        <v>N-Nitroso MRB-III</v>
      </c>
      <c r="C1297" s="6" t="str">
        <f>HYPERLINK("https://www.kmpharma.in/product/239","KMM003003")</f>
        <v>KMM003003</v>
      </c>
      <c r="D1297" s="6" t="s">
        <v>163</v>
      </c>
      <c r="E1297" s="7" t="s">
        <v>321</v>
      </c>
    </row>
    <row r="1298" spans="1:5" x14ac:dyDescent="0.25">
      <c r="A1298" s="3">
        <v>1297</v>
      </c>
      <c r="B1298" s="3" t="str">
        <f>HYPERLINK("https://www.kmpharma.in/product/14467","N-Nitroso n-Acetyl Arformoterol")</f>
        <v>N-Nitroso n-Acetyl Arformoterol</v>
      </c>
      <c r="C1298" s="3" t="str">
        <f>HYPERLINK("https://www.kmpharma.in/product/14467","KMF104079")</f>
        <v>KMF104079</v>
      </c>
      <c r="D1298" s="3" t="s">
        <v>7</v>
      </c>
      <c r="E1298" s="3" t="s">
        <v>16</v>
      </c>
    </row>
    <row r="1299" spans="1:5" x14ac:dyDescent="0.25">
      <c r="A1299" s="6">
        <v>1298</v>
      </c>
      <c r="B1299" s="6" t="str">
        <f>HYPERLINK("https://www.kmpharma.in/product/20919","N-Nitroso n-Butyl-D-Glucamine")</f>
        <v>N-Nitroso n-Butyl-D-Glucamine</v>
      </c>
      <c r="C1299" s="6" t="str">
        <f>HYPERLINK("https://www.kmpharma.in/product/20919","KMM134019")</f>
        <v>KMM134019</v>
      </c>
      <c r="D1299" s="6" t="s">
        <v>7</v>
      </c>
      <c r="E1299" s="7" t="s">
        <v>321</v>
      </c>
    </row>
    <row r="1300" spans="1:5" x14ac:dyDescent="0.25">
      <c r="A1300" s="3">
        <v>1299</v>
      </c>
      <c r="B1300" s="3" t="str">
        <f>HYPERLINK("https://www.kmpharma.in/product/39513","N-Nitroso N-Demethyl Eszopiclone")</f>
        <v>N-Nitroso N-Demethyl Eszopiclone</v>
      </c>
      <c r="C1300" s="3" t="str">
        <f>HYPERLINK("https://www.kmpharma.in/product/39513","KMZ005005")</f>
        <v>KMZ005005</v>
      </c>
      <c r="D1300" s="3" t="s">
        <v>7</v>
      </c>
      <c r="E1300" s="5" t="s">
        <v>321</v>
      </c>
    </row>
    <row r="1301" spans="1:5" x14ac:dyDescent="0.25">
      <c r="A1301" s="6">
        <v>1300</v>
      </c>
      <c r="B1301" s="6" t="str">
        <f>HYPERLINK("https://www.kmpharma.in/product/22354","N-Nitroso N-Desbenzyl Nicardipine Impurity")</f>
        <v>N-Nitroso N-Desbenzyl Nicardipine Impurity</v>
      </c>
      <c r="C1301" s="6" t="str">
        <f>HYPERLINK("https://www.kmpharma.in/product/22354","KMN057003")</f>
        <v>KMN057003</v>
      </c>
      <c r="D1301" s="6" t="s">
        <v>7</v>
      </c>
      <c r="E1301" s="7" t="s">
        <v>321</v>
      </c>
    </row>
    <row r="1302" spans="1:5" x14ac:dyDescent="0.25">
      <c r="A1302" s="3">
        <v>1301</v>
      </c>
      <c r="B1302" s="3" t="str">
        <f>HYPERLINK("https://www.kmpharma.in/product/1471","N-Nitroso N-Desethyl Alverine")</f>
        <v>N-Nitroso N-Desethyl Alverine</v>
      </c>
      <c r="C1302" s="3" t="str">
        <f>HYPERLINK("https://www.kmpharma.in/product/1471","KMA033020")</f>
        <v>KMA033020</v>
      </c>
      <c r="D1302" s="3" t="s">
        <v>164</v>
      </c>
      <c r="E1302" s="5" t="s">
        <v>322</v>
      </c>
    </row>
    <row r="1303" spans="1:5" x14ac:dyDescent="0.25">
      <c r="A1303" s="6">
        <v>1302</v>
      </c>
      <c r="B1303" s="6" t="str">
        <f>HYPERLINK("https://www.kmpharma.in/product/1764","N-Nitroso N-Desethyl Amodiaquine")</f>
        <v>N-Nitroso N-Desethyl Amodiaquine</v>
      </c>
      <c r="C1303" s="6" t="str">
        <f>HYPERLINK("https://www.kmpharma.in/product/1764","KMA126018")</f>
        <v>KMA126018</v>
      </c>
      <c r="D1303" s="6" t="s">
        <v>7</v>
      </c>
      <c r="E1303" s="7" t="s">
        <v>321</v>
      </c>
    </row>
    <row r="1304" spans="1:5" x14ac:dyDescent="0.25">
      <c r="A1304" s="3">
        <v>1303</v>
      </c>
      <c r="B1304" s="3" t="str">
        <f>HYPERLINK("https://www.kmpharma.in/product/20633","N-Nitroso N-Desethyl Metoclopramide")</f>
        <v>N-Nitroso N-Desethyl Metoclopramide</v>
      </c>
      <c r="C1304" s="3" t="str">
        <f>HYPERLINK("https://www.kmpharma.in/product/20633","KMM117024")</f>
        <v>KMM117024</v>
      </c>
      <c r="D1304" s="3" t="s">
        <v>7</v>
      </c>
      <c r="E1304" s="5" t="s">
        <v>321</v>
      </c>
    </row>
    <row r="1305" spans="1:5" x14ac:dyDescent="0.25">
      <c r="A1305" s="6">
        <v>1304</v>
      </c>
      <c r="B1305" s="6" t="str">
        <f>HYPERLINK("https://www.kmpharma.in/product/24264","N-Nitroso N-Desethyl Oxybutynin")</f>
        <v>N-Nitroso N-Desethyl Oxybutynin</v>
      </c>
      <c r="C1305" s="6" t="str">
        <f>HYPERLINK("https://www.kmpharma.in/product/24264","KMO062012")</f>
        <v>KMO062012</v>
      </c>
      <c r="D1305" s="6" t="s">
        <v>7</v>
      </c>
      <c r="E1305" s="7" t="s">
        <v>321</v>
      </c>
    </row>
    <row r="1306" spans="1:5" x14ac:dyDescent="0.25">
      <c r="A1306" s="3">
        <v>1305</v>
      </c>
      <c r="B1306" s="3" t="str">
        <f>HYPERLINK("https://www.kmpharma.in/product/31648","N-Nitroso N-Desethyl Sunitinib")</f>
        <v>N-Nitroso N-Desethyl Sunitinib</v>
      </c>
      <c r="C1306" s="3" t="str">
        <f>HYPERLINK("https://www.kmpharma.in/product/31648","KMS011005")</f>
        <v>KMS011005</v>
      </c>
      <c r="D1306" s="3" t="s">
        <v>7</v>
      </c>
      <c r="E1306" s="5" t="s">
        <v>321</v>
      </c>
    </row>
    <row r="1307" spans="1:5" x14ac:dyDescent="0.25">
      <c r="A1307" s="6">
        <v>1306</v>
      </c>
      <c r="B1307" s="6" t="str">
        <f>HYPERLINK("https://www.kmpharma.in/product/9239","N-Nitroso N-Deshydroxyethyl Dasatinib 1")</f>
        <v>N-Nitroso N-Deshydroxyethyl Dasatinib 1</v>
      </c>
      <c r="C1307" s="6" t="str">
        <f>HYPERLINK("https://www.kmpharma.in/product/9239","KMD048078")</f>
        <v>KMD048078</v>
      </c>
      <c r="D1307" s="6" t="s">
        <v>165</v>
      </c>
      <c r="E1307" s="7" t="s">
        <v>321</v>
      </c>
    </row>
    <row r="1308" spans="1:5" x14ac:dyDescent="0.25">
      <c r="A1308" s="3">
        <v>1307</v>
      </c>
      <c r="B1308" s="3" t="str">
        <f>HYPERLINK("https://www.kmpharma.in/product/9244","N-Nitroso N-Deshydroxyethyl Dasatinib 2")</f>
        <v>N-Nitroso N-Deshydroxyethyl Dasatinib 2</v>
      </c>
      <c r="C1308" s="3" t="str">
        <f>HYPERLINK("https://www.kmpharma.in/product/9244","KMD048079")</f>
        <v>KMD048079</v>
      </c>
      <c r="D1308" s="3" t="s">
        <v>7</v>
      </c>
      <c r="E1308" s="5" t="s">
        <v>321</v>
      </c>
    </row>
    <row r="1309" spans="1:5" x14ac:dyDescent="0.25">
      <c r="A1309" s="6">
        <v>1308</v>
      </c>
      <c r="B1309" s="6" t="str">
        <f>HYPERLINK("https://www.kmpharma.in/product/37571","N-Nitroso N-Desmethoxypropyl Prucalopride")</f>
        <v>N-Nitroso N-Desmethoxypropyl Prucalopride</v>
      </c>
      <c r="C1309" s="6" t="str">
        <f>HYPERLINK("https://www.kmpharma.in/product/37571","KMP200004")</f>
        <v>KMP200004</v>
      </c>
      <c r="D1309" s="6" t="s">
        <v>7</v>
      </c>
      <c r="E1309" s="7" t="s">
        <v>322</v>
      </c>
    </row>
    <row r="1310" spans="1:5" x14ac:dyDescent="0.25">
      <c r="A1310" s="3">
        <v>1309</v>
      </c>
      <c r="B1310" s="3" t="str">
        <f>HYPERLINK("https://www.kmpharma.in/product/637","N-Nitroso N-Desmethyl Abrocitinib")</f>
        <v>N-Nitroso N-Desmethyl Abrocitinib</v>
      </c>
      <c r="C1310" s="3" t="str">
        <f>HYPERLINK("https://www.kmpharma.in/product/637","KMA042019")</f>
        <v>KMA042019</v>
      </c>
      <c r="D1310" s="3" t="s">
        <v>7</v>
      </c>
      <c r="E1310" s="3" t="s">
        <v>16</v>
      </c>
    </row>
    <row r="1311" spans="1:5" x14ac:dyDescent="0.25">
      <c r="A1311" s="6">
        <v>1310</v>
      </c>
      <c r="B1311" s="6" t="str">
        <f>HYPERLINK("https://www.kmpharma.in/product/2651","N-nitroso N-Desmethyl Asenapine")</f>
        <v>N-nitroso N-Desmethyl Asenapine</v>
      </c>
      <c r="C1311" s="6" t="str">
        <f>HYPERLINK("https://www.kmpharma.in/product/2651","KMA178030")</f>
        <v>KMA178030</v>
      </c>
      <c r="D1311" s="6" t="s">
        <v>7</v>
      </c>
      <c r="E1311" s="7" t="s">
        <v>321</v>
      </c>
    </row>
    <row r="1312" spans="1:5" x14ac:dyDescent="0.25">
      <c r="A1312" s="3">
        <v>1311</v>
      </c>
      <c r="B1312" s="3" t="str">
        <f>HYPERLINK("https://www.kmpharma.in/product/3881","N-Nitroso N-Desmethyl Bendamustine Impurity")</f>
        <v>N-Nitroso N-Desmethyl Bendamustine Impurity</v>
      </c>
      <c r="C1312" s="3" t="str">
        <f>HYPERLINK("https://www.kmpharma.in/product/3881","KMB004063")</f>
        <v>KMB004063</v>
      </c>
      <c r="D1312" s="3" t="s">
        <v>7</v>
      </c>
      <c r="E1312" s="5" t="s">
        <v>321</v>
      </c>
    </row>
    <row r="1313" spans="1:5" x14ac:dyDescent="0.25">
      <c r="A1313" s="6">
        <v>1312</v>
      </c>
      <c r="B1313" s="6" t="str">
        <f>HYPERLINK("https://www.kmpharma.in/product/4714","N-Nitroso N-Desmethyl Bosutinib")</f>
        <v>N-Nitroso N-Desmethyl Bosutinib</v>
      </c>
      <c r="C1313" s="6" t="str">
        <f>HYPERLINK("https://www.kmpharma.in/product/4714","KMB015030")</f>
        <v>KMB015030</v>
      </c>
      <c r="D1313" s="6" t="s">
        <v>7</v>
      </c>
      <c r="E1313" s="7" t="s">
        <v>322</v>
      </c>
    </row>
    <row r="1314" spans="1:5" x14ac:dyDescent="0.25">
      <c r="A1314" s="3">
        <v>1313</v>
      </c>
      <c r="B1314" s="3" t="str">
        <f>HYPERLINK("https://www.kmpharma.in/product/5385","N-Nitroso N-Desmethyl Cabergoline")</f>
        <v>N-Nitroso N-Desmethyl Cabergoline</v>
      </c>
      <c r="C1314" s="3" t="str">
        <f>HYPERLINK("https://www.kmpharma.in/product/5385","KMC036015")</f>
        <v>KMC036015</v>
      </c>
      <c r="D1314" s="3" t="s">
        <v>7</v>
      </c>
      <c r="E1314" s="5" t="s">
        <v>322</v>
      </c>
    </row>
    <row r="1315" spans="1:5" x14ac:dyDescent="0.25">
      <c r="A1315" s="6">
        <v>1314</v>
      </c>
      <c r="B1315" s="6" t="str">
        <f>HYPERLINK("https://www.kmpharma.in/product/425","N-Nitroso N-Desmethyl Citalopram")</f>
        <v>N-Nitroso N-Desmethyl Citalopram</v>
      </c>
      <c r="C1315" s="6" t="str">
        <f>HYPERLINK("https://www.kmpharma.in/product/425","KMC010001")</f>
        <v>KMC010001</v>
      </c>
      <c r="D1315" s="6" t="s">
        <v>35</v>
      </c>
      <c r="E1315" s="7" t="s">
        <v>322</v>
      </c>
    </row>
    <row r="1316" spans="1:5" x14ac:dyDescent="0.25">
      <c r="A1316" s="3">
        <v>1315</v>
      </c>
      <c r="B1316" s="3" t="str">
        <f>HYPERLINK("https://www.kmpharma.in/product/35614","N-Nitroso N-Desmethyl Citalopram")</f>
        <v>N-Nitroso N-Desmethyl Citalopram</v>
      </c>
      <c r="C1316" s="3" t="str">
        <f>HYPERLINK("https://www.kmpharma.in/product/35614","KMC010049")</f>
        <v>KMC010049</v>
      </c>
      <c r="D1316" s="3" t="s">
        <v>7</v>
      </c>
      <c r="E1316" s="5" t="s">
        <v>322</v>
      </c>
    </row>
    <row r="1317" spans="1:5" x14ac:dyDescent="0.25">
      <c r="A1317" s="6">
        <v>1316</v>
      </c>
      <c r="B1317" s="6" t="str">
        <f>HYPERLINK("https://www.kmpharma.in/product/7887","N-Nitroso N-Desmethyl Clindamycin")</f>
        <v>N-Nitroso N-Desmethyl Clindamycin</v>
      </c>
      <c r="C1317" s="6" t="str">
        <f>HYPERLINK("https://www.kmpharma.in/product/7887","KMC025088")</f>
        <v>KMC025088</v>
      </c>
      <c r="D1317" s="6" t="s">
        <v>7</v>
      </c>
      <c r="E1317" s="7" t="s">
        <v>322</v>
      </c>
    </row>
    <row r="1318" spans="1:5" x14ac:dyDescent="0.25">
      <c r="A1318" s="3">
        <v>1317</v>
      </c>
      <c r="B1318" s="3" t="str">
        <f>HYPERLINK("https://www.kmpharma.in/product/39436","N-Nitroso N-Desmethyl DEBA")</f>
        <v>N-Nitroso N-Desmethyl DEBA</v>
      </c>
      <c r="C1318" s="3" t="str">
        <f>HYPERLINK("https://www.kmpharma.in/product/39436","KMZ001005")</f>
        <v>KMZ001005</v>
      </c>
      <c r="D1318" s="3" t="s">
        <v>7</v>
      </c>
      <c r="E1318" s="5" t="s">
        <v>321</v>
      </c>
    </row>
    <row r="1319" spans="1:5" x14ac:dyDescent="0.25">
      <c r="A1319" s="6">
        <v>1318</v>
      </c>
      <c r="B1319" s="6" t="str">
        <f>HYPERLINK("https://www.kmpharma.in/product/9385","N-Nitroso N-Desmethyl Deferiprone")</f>
        <v>N-Nitroso N-Desmethyl Deferiprone</v>
      </c>
      <c r="C1319" s="6" t="str">
        <f>HYPERLINK("https://www.kmpharma.in/product/9385","KMD051009")</f>
        <v>KMD051009</v>
      </c>
      <c r="D1319" s="6" t="s">
        <v>7</v>
      </c>
      <c r="E1319" s="7" t="s">
        <v>321</v>
      </c>
    </row>
    <row r="1320" spans="1:5" x14ac:dyDescent="0.25">
      <c r="A1320" s="3">
        <v>1319</v>
      </c>
      <c r="B1320" s="3" t="str">
        <f>HYPERLINK("https://www.kmpharma.in/product/9470","N-Nitroso N-Desmethyl Demeclocycline")</f>
        <v>N-Nitroso N-Desmethyl Demeclocycline</v>
      </c>
      <c r="C1320" s="3" t="str">
        <f>HYPERLINK("https://www.kmpharma.in/product/9470","KMD028012")</f>
        <v>KMD028012</v>
      </c>
      <c r="D1320" s="3" t="s">
        <v>7</v>
      </c>
      <c r="E1320" s="5" t="s">
        <v>321</v>
      </c>
    </row>
    <row r="1321" spans="1:5" x14ac:dyDescent="0.25">
      <c r="A1321" s="6">
        <v>1320</v>
      </c>
      <c r="B1321" s="6" t="str">
        <f>HYPERLINK("https://www.kmpharma.in/product/39543","N-Nitroso N-Desmethyl Demeclocycline")</f>
        <v>N-Nitroso N-Desmethyl Demeclocycline</v>
      </c>
      <c r="C1321" s="6" t="str">
        <f>HYPERLINK("https://www.kmpharma.in/product/39543","KMD028001")</f>
        <v>KMD028001</v>
      </c>
      <c r="D1321" s="6" t="s">
        <v>35</v>
      </c>
      <c r="E1321" s="7" t="s">
        <v>321</v>
      </c>
    </row>
    <row r="1322" spans="1:5" x14ac:dyDescent="0.25">
      <c r="A1322" s="3">
        <v>1321</v>
      </c>
      <c r="B1322" s="3" t="str">
        <f>HYPERLINK("https://www.kmpharma.in/product/9813","N-Nitroso N-Desmethyl Dextropropoxyphene")</f>
        <v>N-Nitroso N-Desmethyl Dextropropoxyphene</v>
      </c>
      <c r="C1322" s="3" t="str">
        <f>HYPERLINK("https://www.kmpharma.in/product/9813","KMD083006")</f>
        <v>KMD083006</v>
      </c>
      <c r="D1322" s="3" t="s">
        <v>166</v>
      </c>
      <c r="E1322" s="5" t="s">
        <v>321</v>
      </c>
    </row>
    <row r="1323" spans="1:5" x14ac:dyDescent="0.25">
      <c r="A1323" s="6">
        <v>1322</v>
      </c>
      <c r="B1323" s="6" t="str">
        <f>HYPERLINK("https://www.kmpharma.in/product/32256","N-Nitroso N-Desmethyl Dibenzimidazole")</f>
        <v>N-Nitroso N-Desmethyl Dibenzimidazole</v>
      </c>
      <c r="C1323" s="6" t="str">
        <f>HYPERLINK("https://www.kmpharma.in/product/32256","KMT005007")</f>
        <v>KMT005007</v>
      </c>
      <c r="D1323" s="6" t="s">
        <v>7</v>
      </c>
      <c r="E1323" s="7" t="s">
        <v>323</v>
      </c>
    </row>
    <row r="1324" spans="1:5" x14ac:dyDescent="0.25">
      <c r="A1324" s="3">
        <v>1323</v>
      </c>
      <c r="B1324" s="3" t="str">
        <f>HYPERLINK("https://www.kmpharma.in/product/10145","N-Nitroso N-Desmethyl Dihydroergotamine Mesilate")</f>
        <v>N-Nitroso N-Desmethyl Dihydroergotamine Mesilate</v>
      </c>
      <c r="C1324" s="3" t="str">
        <f>HYPERLINK("https://www.kmpharma.in/product/10145","KMD116013")</f>
        <v>KMD116013</v>
      </c>
      <c r="D1324" s="3" t="s">
        <v>7</v>
      </c>
      <c r="E1324" s="5" t="s">
        <v>323</v>
      </c>
    </row>
    <row r="1325" spans="1:5" x14ac:dyDescent="0.25">
      <c r="A1325" s="6">
        <v>1324</v>
      </c>
      <c r="B1325" s="6" t="str">
        <f>HYPERLINK("https://www.kmpharma.in/product/431","N-Nitroso N-Desmethyl Diphenhydramine")</f>
        <v>N-Nitroso N-Desmethyl Diphenhydramine</v>
      </c>
      <c r="C1325" s="6" t="str">
        <f>HYPERLINK("https://www.kmpharma.in/product/431","KMD025001")</f>
        <v>KMD025001</v>
      </c>
      <c r="D1325" s="6" t="s">
        <v>128</v>
      </c>
      <c r="E1325" s="6" t="s">
        <v>16</v>
      </c>
    </row>
    <row r="1326" spans="1:5" x14ac:dyDescent="0.25">
      <c r="A1326" s="3">
        <v>1325</v>
      </c>
      <c r="B1326" s="3" t="str">
        <f>HYPERLINK("https://www.kmpharma.in/product/10249","N-Nitroso N-Desmethyl Diphenhydramine-D5")</f>
        <v>N-Nitroso N-Desmethyl Diphenhydramine-D5</v>
      </c>
      <c r="C1326" s="3" t="str">
        <f>HYPERLINK("https://www.kmpharma.in/product/10249","KMD025021")</f>
        <v>KMD025021</v>
      </c>
      <c r="D1326" s="3" t="s">
        <v>7</v>
      </c>
      <c r="E1326" s="3" t="s">
        <v>16</v>
      </c>
    </row>
    <row r="1327" spans="1:5" x14ac:dyDescent="0.25">
      <c r="A1327" s="6">
        <v>1326</v>
      </c>
      <c r="B1327" s="6" t="str">
        <f>HYPERLINK("https://www.kmpharma.in/product/528","N-NITROSO N-DESMETHYL DOXEPIN")</f>
        <v>N-NITROSO N-DESMETHYL DOXEPIN</v>
      </c>
      <c r="C1327" s="6" t="str">
        <f>HYPERLINK("https://www.kmpharma.in/product/528","KMD010002")</f>
        <v>KMD010002</v>
      </c>
      <c r="D1327" s="6" t="s">
        <v>35</v>
      </c>
      <c r="E1327" s="7" t="s">
        <v>322</v>
      </c>
    </row>
    <row r="1328" spans="1:5" x14ac:dyDescent="0.25">
      <c r="A1328" s="3">
        <v>1327</v>
      </c>
      <c r="B1328" s="3" t="str">
        <f>HYPERLINK("https://www.kmpharma.in/product/10692","N-Nitroso N-Desmethyl Doxepin EP impurity B")</f>
        <v>N-Nitroso N-Desmethyl Doxepin EP impurity B</v>
      </c>
      <c r="C1328" s="3" t="str">
        <f>HYPERLINK("https://www.kmpharma.in/product/10692","KMD010025")</f>
        <v>KMD010025</v>
      </c>
      <c r="D1328" s="3" t="s">
        <v>7</v>
      </c>
      <c r="E1328" s="5" t="s">
        <v>322</v>
      </c>
    </row>
    <row r="1329" spans="1:5" x14ac:dyDescent="0.25">
      <c r="A1329" s="6">
        <v>1328</v>
      </c>
      <c r="B1329" s="6" t="str">
        <f>HYPERLINK("https://www.kmpharma.in/product/10691","N-Nitroso N-Desmethyl Doxepin Impurity")</f>
        <v>N-Nitroso N-Desmethyl Doxepin Impurity</v>
      </c>
      <c r="C1329" s="6" t="str">
        <f>HYPERLINK("https://www.kmpharma.in/product/10691","KMD010026")</f>
        <v>KMD010026</v>
      </c>
      <c r="D1329" s="6" t="s">
        <v>7</v>
      </c>
      <c r="E1329" s="7" t="s">
        <v>322</v>
      </c>
    </row>
    <row r="1330" spans="1:5" x14ac:dyDescent="0.25">
      <c r="A1330" s="3">
        <v>1329</v>
      </c>
      <c r="B1330" s="3" t="str">
        <f>HYPERLINK("https://www.kmpharma.in/product/10767","N-Nitroso N-Desmethyl Doxylamine")</f>
        <v>N-Nitroso N-Desmethyl Doxylamine</v>
      </c>
      <c r="C1330" s="3" t="str">
        <f>HYPERLINK("https://www.kmpharma.in/product/10767","KMD017022")</f>
        <v>KMD017022</v>
      </c>
      <c r="D1330" s="3" t="s">
        <v>7</v>
      </c>
      <c r="E1330" s="5" t="s">
        <v>321</v>
      </c>
    </row>
    <row r="1331" spans="1:5" x14ac:dyDescent="0.25">
      <c r="A1331" s="6">
        <v>1330</v>
      </c>
      <c r="B1331" s="6" t="str">
        <f>HYPERLINK("https://www.kmpharma.in/product/17118","N-Nitroso N-Desmethyl Ivabradine")</f>
        <v>N-Nitroso N-Desmethyl Ivabradine</v>
      </c>
      <c r="C1331" s="6" t="str">
        <f>HYPERLINK("https://www.kmpharma.in/product/17118","KMI007080")</f>
        <v>KMI007080</v>
      </c>
      <c r="D1331" s="6" t="s">
        <v>7</v>
      </c>
      <c r="E1331" s="7" t="s">
        <v>321</v>
      </c>
    </row>
    <row r="1332" spans="1:5" x14ac:dyDescent="0.25">
      <c r="A1332" s="3">
        <v>1331</v>
      </c>
      <c r="B1332" s="3" t="str">
        <f>HYPERLINK("https://www.kmpharma.in/product/17400","N-Nitroso N-Desmethyl Ketotifen")</f>
        <v>N-Nitroso N-Desmethyl Ketotifen</v>
      </c>
      <c r="C1332" s="3" t="str">
        <f>HYPERLINK("https://www.kmpharma.in/product/17400","KMK009017")</f>
        <v>KMK009017</v>
      </c>
      <c r="D1332" s="3" t="s">
        <v>7</v>
      </c>
      <c r="E1332" s="5" t="s">
        <v>321</v>
      </c>
    </row>
    <row r="1333" spans="1:5" x14ac:dyDescent="0.25">
      <c r="A1333" s="6">
        <v>1332</v>
      </c>
      <c r="B1333" s="6" t="str">
        <f>HYPERLINK("https://www.kmpharma.in/product/17401","N-Nitroso N-Desmethyl Ketotifen EP Impurity B")</f>
        <v>N-Nitroso N-Desmethyl Ketotifen EP Impurity B</v>
      </c>
      <c r="C1333" s="6" t="str">
        <f>HYPERLINK("https://www.kmpharma.in/product/17401","KMK009018")</f>
        <v>KMK009018</v>
      </c>
      <c r="D1333" s="6" t="s">
        <v>7</v>
      </c>
      <c r="E1333" s="7" t="s">
        <v>323</v>
      </c>
    </row>
    <row r="1334" spans="1:5" x14ac:dyDescent="0.25">
      <c r="A1334" s="3">
        <v>1333</v>
      </c>
      <c r="B1334" s="3" t="str">
        <f>HYPERLINK("https://www.kmpharma.in/product/18781","N-Nitroso N-Desmethyl Linagliptin")</f>
        <v>N-Nitroso N-Desmethyl Linagliptin</v>
      </c>
      <c r="C1334" s="3" t="str">
        <f>HYPERLINK("https://www.kmpharma.in/product/18781","KML010148")</f>
        <v>KML010148</v>
      </c>
      <c r="D1334" s="3" t="s">
        <v>7</v>
      </c>
      <c r="E1334" s="5" t="s">
        <v>321</v>
      </c>
    </row>
    <row r="1335" spans="1:5" x14ac:dyDescent="0.25">
      <c r="A1335" s="6">
        <v>1334</v>
      </c>
      <c r="B1335" s="6" t="str">
        <f>HYPERLINK("https://www.kmpharma.in/product/19792","N-Nitroso N-Desmethyl Maralixibat Chloride")</f>
        <v>N-Nitroso N-Desmethyl Maralixibat Chloride</v>
      </c>
      <c r="C1335" s="6" t="str">
        <f>HYPERLINK("https://www.kmpharma.in/product/19792","KMM033002")</f>
        <v>KMM033002</v>
      </c>
      <c r="D1335" s="6" t="s">
        <v>7</v>
      </c>
      <c r="E1335" s="7" t="s">
        <v>321</v>
      </c>
    </row>
    <row r="1336" spans="1:5" x14ac:dyDescent="0.25">
      <c r="A1336" s="3">
        <v>1335</v>
      </c>
      <c r="B1336" s="3" t="str">
        <f>HYPERLINK("https://www.kmpharma.in/product/20178","N-Nitroso N-Desmethyl Mepyramine")</f>
        <v>N-Nitroso N-Desmethyl Mepyramine</v>
      </c>
      <c r="C1336" s="3" t="str">
        <f>HYPERLINK("https://www.kmpharma.in/product/20178","KMM076007")</f>
        <v>KMM076007</v>
      </c>
      <c r="D1336" s="3" t="s">
        <v>7</v>
      </c>
      <c r="E1336" s="5" t="s">
        <v>321</v>
      </c>
    </row>
    <row r="1337" spans="1:5" x14ac:dyDescent="0.25">
      <c r="A1337" s="6">
        <v>1336</v>
      </c>
      <c r="B1337" s="6" t="str">
        <f>HYPERLINK("https://www.kmpharma.in/product/20407","N-Nitroso N-Desmethyl Methacycline")</f>
        <v>N-Nitroso N-Desmethyl Methacycline</v>
      </c>
      <c r="C1337" s="6" t="str">
        <f>HYPERLINK("https://www.kmpharma.in/product/20407","KMM094003")</f>
        <v>KMM094003</v>
      </c>
      <c r="D1337" s="6" t="s">
        <v>7</v>
      </c>
      <c r="E1337" s="7" t="s">
        <v>323</v>
      </c>
    </row>
    <row r="1338" spans="1:5" x14ac:dyDescent="0.25">
      <c r="A1338" s="3">
        <v>1337</v>
      </c>
      <c r="B1338" s="3" t="str">
        <f>HYPERLINK("https://www.kmpharma.in/product/20880","N-Nitroso N-Desmethyl Mifepristone")</f>
        <v>N-Nitroso N-Desmethyl Mifepristone</v>
      </c>
      <c r="C1338" s="3" t="str">
        <f>HYPERLINK("https://www.kmpharma.in/product/20880","KMM131026")</f>
        <v>KMM131026</v>
      </c>
      <c r="D1338" s="3" t="s">
        <v>7</v>
      </c>
      <c r="E1338" s="5" t="s">
        <v>321</v>
      </c>
    </row>
    <row r="1339" spans="1:5" x14ac:dyDescent="0.25">
      <c r="A1339" s="6">
        <v>1338</v>
      </c>
      <c r="B1339" s="6" t="str">
        <f>HYPERLINK("https://www.kmpharma.in/product/21197","N-Nitroso N-Desmethyl Mirtazapine EP Impurity B")</f>
        <v>N-Nitroso N-Desmethyl Mirtazapine EP Impurity B</v>
      </c>
      <c r="C1339" s="6" t="str">
        <f>HYPERLINK("https://www.kmpharma.in/product/21197","KMM020032")</f>
        <v>KMM020032</v>
      </c>
      <c r="D1339" s="6" t="s">
        <v>7</v>
      </c>
      <c r="E1339" s="7" t="s">
        <v>323</v>
      </c>
    </row>
    <row r="1340" spans="1:5" x14ac:dyDescent="0.25">
      <c r="A1340" s="3">
        <v>1339</v>
      </c>
      <c r="B1340" s="3" t="str">
        <f>HYPERLINK("https://www.kmpharma.in/product/21199","N-Nitroso N-Desmethyl Mirtazapine EP Impurity E")</f>
        <v>N-Nitroso N-Desmethyl Mirtazapine EP Impurity E</v>
      </c>
      <c r="C1340" s="3" t="str">
        <f>HYPERLINK("https://www.kmpharma.in/product/21199","KMM020033")</f>
        <v>KMM020033</v>
      </c>
      <c r="D1340" s="3" t="s">
        <v>7</v>
      </c>
      <c r="E1340" s="3" t="s">
        <v>16</v>
      </c>
    </row>
    <row r="1341" spans="1:5" x14ac:dyDescent="0.25">
      <c r="A1341" s="6">
        <v>1340</v>
      </c>
      <c r="B1341" s="6" t="str">
        <f>HYPERLINK("https://www.kmpharma.in/product/21198","N-Nitroso N-Desmethyl Mirtazapine EP Impurity F")</f>
        <v>N-Nitroso N-Desmethyl Mirtazapine EP Impurity F</v>
      </c>
      <c r="C1341" s="6" t="str">
        <f>HYPERLINK("https://www.kmpharma.in/product/21198","KMM020034")</f>
        <v>KMM020034</v>
      </c>
      <c r="D1341" s="6" t="s">
        <v>7</v>
      </c>
      <c r="E1341" s="7" t="s">
        <v>321</v>
      </c>
    </row>
    <row r="1342" spans="1:5" x14ac:dyDescent="0.25">
      <c r="A1342" s="3">
        <v>1341</v>
      </c>
      <c r="B1342" s="3" t="str">
        <f>HYPERLINK("https://www.kmpharma.in/product/21540","N-Nitroso N-Desmethyl Morphine")</f>
        <v>N-Nitroso N-Desmethyl Morphine</v>
      </c>
      <c r="C1342" s="3" t="str">
        <f>HYPERLINK("https://www.kmpharma.in/product/21540","KMM167015")</f>
        <v>KMM167015</v>
      </c>
      <c r="D1342" s="3" t="s">
        <v>7</v>
      </c>
      <c r="E1342" s="5" t="s">
        <v>321</v>
      </c>
    </row>
    <row r="1343" spans="1:5" x14ac:dyDescent="0.25">
      <c r="A1343" s="6">
        <v>1342</v>
      </c>
      <c r="B1343" s="6" t="str">
        <f>HYPERLINK("https://www.kmpharma.in/product/22716","N-Nitroso N-Desmethyl N-Propanoyl Nintedanib")</f>
        <v>N-Nitroso N-Desmethyl N-Propanoyl Nintedanib</v>
      </c>
      <c r="C1343" s="6" t="str">
        <f>HYPERLINK("https://www.kmpharma.in/product/22716","KMN002010")</f>
        <v>KMN002010</v>
      </c>
      <c r="D1343" s="6" t="s">
        <v>7</v>
      </c>
      <c r="E1343" s="7" t="s">
        <v>321</v>
      </c>
    </row>
    <row r="1344" spans="1:5" x14ac:dyDescent="0.25">
      <c r="A1344" s="3">
        <v>1343</v>
      </c>
      <c r="B1344" s="3" t="str">
        <f>HYPERLINK("https://www.kmpharma.in/product/22148","N-Nitroso N-Desmethyl Nefopam")</f>
        <v>N-Nitroso N-Desmethyl Nefopam</v>
      </c>
      <c r="C1344" s="3" t="str">
        <f>HYPERLINK("https://www.kmpharma.in/product/22148","KMN042002")</f>
        <v>KMN042002</v>
      </c>
      <c r="D1344" s="3" t="s">
        <v>7</v>
      </c>
      <c r="E1344" s="5" t="s">
        <v>321</v>
      </c>
    </row>
    <row r="1345" spans="1:5" x14ac:dyDescent="0.25">
      <c r="A1345" s="6">
        <v>1344</v>
      </c>
      <c r="B1345" s="6" t="str">
        <f>HYPERLINK("https://www.kmpharma.in/product/22260","N-Nitroso N-Desmethyl Neratinib")</f>
        <v>N-Nitroso N-Desmethyl Neratinib</v>
      </c>
      <c r="C1345" s="6" t="str">
        <f>HYPERLINK("https://www.kmpharma.in/product/22260","KMN049001")</f>
        <v>KMN049001</v>
      </c>
      <c r="D1345" s="6" t="s">
        <v>7</v>
      </c>
      <c r="E1345" s="7" t="s">
        <v>323</v>
      </c>
    </row>
    <row r="1346" spans="1:5" x14ac:dyDescent="0.25">
      <c r="A1346" s="3">
        <v>1345</v>
      </c>
      <c r="B1346" s="3" t="str">
        <f>HYPERLINK("https://www.kmpharma.in/product/22355","N-Nitroso N-Desmethyl Nicardipine")</f>
        <v>N-Nitroso N-Desmethyl Nicardipine</v>
      </c>
      <c r="C1346" s="3" t="str">
        <f>HYPERLINK("https://www.kmpharma.in/product/22355","KMN057004")</f>
        <v>KMN057004</v>
      </c>
      <c r="D1346" s="3" t="s">
        <v>7</v>
      </c>
      <c r="E1346" s="3" t="s">
        <v>16</v>
      </c>
    </row>
    <row r="1347" spans="1:5" x14ac:dyDescent="0.25">
      <c r="A1347" s="6">
        <v>1346</v>
      </c>
      <c r="B1347" s="6" t="str">
        <f>HYPERLINK("https://www.kmpharma.in/product/23099","N-Nitroso N-Desmethyl Nizatidine")</f>
        <v>N-Nitroso N-Desmethyl Nizatidine</v>
      </c>
      <c r="C1347" s="6" t="str">
        <f>HYPERLINK("https://www.kmpharma.in/product/23099","KMN087002")</f>
        <v>KMN087002</v>
      </c>
      <c r="D1347" s="6" t="s">
        <v>7</v>
      </c>
      <c r="E1347" s="6" t="s">
        <v>16</v>
      </c>
    </row>
    <row r="1348" spans="1:5" x14ac:dyDescent="0.25">
      <c r="A1348" s="3">
        <v>1347</v>
      </c>
      <c r="B1348" s="3" t="str">
        <f>HYPERLINK("https://www.kmpharma.in/product/7909","N-Nitroso N-Desmethyl O-Methyl Clobazam")</f>
        <v>N-Nitroso N-Desmethyl O-Methyl Clobazam</v>
      </c>
      <c r="C1348" s="3" t="str">
        <f>HYPERLINK("https://www.kmpharma.in/product/7909","KMC014022")</f>
        <v>KMC014022</v>
      </c>
      <c r="D1348" s="3" t="s">
        <v>7</v>
      </c>
      <c r="E1348" s="5" t="s">
        <v>321</v>
      </c>
    </row>
    <row r="1349" spans="1:5" x14ac:dyDescent="0.25">
      <c r="A1349" s="6">
        <v>1348</v>
      </c>
      <c r="B1349" s="6" t="str">
        <f>HYPERLINK("https://www.kmpharma.in/product/23465","N-Nitroso N-Desmethyl Olanzapine")</f>
        <v>N-Nitroso N-Desmethyl Olanzapine</v>
      </c>
      <c r="C1349" s="6" t="str">
        <f>HYPERLINK("https://www.kmpharma.in/product/23465","KMO007008")</f>
        <v>KMO007008</v>
      </c>
      <c r="D1349" s="6" t="s">
        <v>7</v>
      </c>
      <c r="E1349" s="7" t="s">
        <v>321</v>
      </c>
    </row>
    <row r="1350" spans="1:5" x14ac:dyDescent="0.25">
      <c r="A1350" s="3">
        <v>1349</v>
      </c>
      <c r="B1350" s="3" t="str">
        <f>HYPERLINK("https://www.kmpharma.in/product/23463","N-Nitroso N-Desmethyl Olanzapine Impurity 1")</f>
        <v>N-Nitroso N-Desmethyl Olanzapine Impurity 1</v>
      </c>
      <c r="C1350" s="3" t="str">
        <f>HYPERLINK("https://www.kmpharma.in/product/23463","KMO007009")</f>
        <v>KMO007009</v>
      </c>
      <c r="D1350" s="3" t="s">
        <v>7</v>
      </c>
      <c r="E1350" s="5" t="s">
        <v>324</v>
      </c>
    </row>
    <row r="1351" spans="1:5" x14ac:dyDescent="0.25">
      <c r="A1351" s="6">
        <v>1350</v>
      </c>
      <c r="B1351" s="6" t="str">
        <f>HYPERLINK("https://www.kmpharma.in/product/23693","N-Nitroso N-Desmethyl Olopatadine")</f>
        <v>N-Nitroso N-Desmethyl Olopatadine</v>
      </c>
      <c r="C1351" s="6" t="str">
        <f>HYPERLINK("https://www.kmpharma.in/product/23693","KMO024005")</f>
        <v>KMO024005</v>
      </c>
      <c r="D1351" s="6" t="s">
        <v>7</v>
      </c>
      <c r="E1351" s="7" t="s">
        <v>321</v>
      </c>
    </row>
    <row r="1352" spans="1:5" x14ac:dyDescent="0.25">
      <c r="A1352" s="3">
        <v>1351</v>
      </c>
      <c r="B1352" s="3" t="str">
        <f>HYPERLINK("https://www.kmpharma.in/product/23733","N-Nitroso N-Desmethyl Omadacycline Impurity 1")</f>
        <v>N-Nitroso N-Desmethyl Omadacycline Impurity 1</v>
      </c>
      <c r="C1352" s="3" t="str">
        <f>HYPERLINK("https://www.kmpharma.in/product/23733","KMO027005")</f>
        <v>KMO027005</v>
      </c>
      <c r="D1352" s="3" t="s">
        <v>7</v>
      </c>
      <c r="E1352" s="5" t="s">
        <v>321</v>
      </c>
    </row>
    <row r="1353" spans="1:5" x14ac:dyDescent="0.25">
      <c r="A1353" s="6">
        <v>1352</v>
      </c>
      <c r="B1353" s="6" t="str">
        <f>HYPERLINK("https://www.kmpharma.in/product/23734","N-Nitroso N-Desmethyl Omadacycline Impurity 2")</f>
        <v>N-Nitroso N-Desmethyl Omadacycline Impurity 2</v>
      </c>
      <c r="C1353" s="6" t="str">
        <f>HYPERLINK("https://www.kmpharma.in/product/23734","KMO027006")</f>
        <v>KMO027006</v>
      </c>
      <c r="D1353" s="6" t="s">
        <v>7</v>
      </c>
      <c r="E1353" s="7" t="s">
        <v>321</v>
      </c>
    </row>
    <row r="1354" spans="1:5" x14ac:dyDescent="0.25">
      <c r="A1354" s="3">
        <v>1353</v>
      </c>
      <c r="B1354" s="3" t="str">
        <f>HYPERLINK("https://www.kmpharma.in/product/24516","N-Nitroso N-Desmethyl Padimate O")</f>
        <v>N-Nitroso N-Desmethyl Padimate O</v>
      </c>
      <c r="C1354" s="3" t="str">
        <f>HYPERLINK("https://www.kmpharma.in/product/24516","KMP033001")</f>
        <v>KMP033001</v>
      </c>
      <c r="D1354" s="3" t="s">
        <v>167</v>
      </c>
      <c r="E1354" s="5" t="s">
        <v>321</v>
      </c>
    </row>
    <row r="1355" spans="1:5" x14ac:dyDescent="0.25">
      <c r="A1355" s="6">
        <v>1354</v>
      </c>
      <c r="B1355" s="6" t="str">
        <f>HYPERLINK("https://www.kmpharma.in/product/37501","N-Nitroso N-Desmethyl Ponatinib")</f>
        <v>N-Nitroso N-Desmethyl Ponatinib</v>
      </c>
      <c r="C1355" s="6" t="str">
        <f>HYPERLINK("https://www.kmpharma.in/product/37501","KMP151002")</f>
        <v>KMP151002</v>
      </c>
      <c r="D1355" s="6" t="s">
        <v>7</v>
      </c>
      <c r="E1355" s="7" t="s">
        <v>321</v>
      </c>
    </row>
    <row r="1356" spans="1:5" x14ac:dyDescent="0.25">
      <c r="A1356" s="3">
        <v>1355</v>
      </c>
      <c r="B1356" s="3" t="str">
        <f>HYPERLINK("https://www.kmpharma.in/product/27024","N-Nitroso N-Desmethyl Prochlorperazine Dimaleate")</f>
        <v>N-Nitroso N-Desmethyl Prochlorperazine Dimaleate</v>
      </c>
      <c r="C1356" s="3" t="str">
        <f>HYPERLINK("https://www.kmpharma.in/product/27024","KMP017008")</f>
        <v>KMP017008</v>
      </c>
      <c r="D1356" s="3" t="s">
        <v>7</v>
      </c>
      <c r="E1356" s="5" t="s">
        <v>323</v>
      </c>
    </row>
    <row r="1357" spans="1:5" x14ac:dyDescent="0.25">
      <c r="A1357" s="6">
        <v>1356</v>
      </c>
      <c r="B1357" s="6" t="str">
        <f>HYPERLINK("https://www.kmpharma.in/product/28698","N-Nitroso N-Desmethyl Riociguat")</f>
        <v>N-Nitroso N-Desmethyl Riociguat</v>
      </c>
      <c r="C1357" s="6" t="str">
        <f>HYPERLINK("https://www.kmpharma.in/product/28698","KMR062003")</f>
        <v>KMR062003</v>
      </c>
      <c r="D1357" s="6" t="s">
        <v>7</v>
      </c>
      <c r="E1357" s="7" t="s">
        <v>321</v>
      </c>
    </row>
    <row r="1358" spans="1:5" x14ac:dyDescent="0.25">
      <c r="A1358" s="3">
        <v>1357</v>
      </c>
      <c r="B1358" s="3" t="str">
        <f>HYPERLINK("https://www.kmpharma.in/product/29081","N-Nitroso N-Desmethyl Rivastigmine Impurity 2")</f>
        <v>N-Nitroso N-Desmethyl Rivastigmine Impurity 2</v>
      </c>
      <c r="C1358" s="3" t="str">
        <f>HYPERLINK("https://www.kmpharma.in/product/29081","KMR007002")</f>
        <v>KMR007002</v>
      </c>
      <c r="D1358" s="3" t="s">
        <v>7</v>
      </c>
      <c r="E1358" s="5" t="s">
        <v>323</v>
      </c>
    </row>
    <row r="1359" spans="1:5" x14ac:dyDescent="0.25">
      <c r="A1359" s="6">
        <v>1358</v>
      </c>
      <c r="B1359" s="6" t="str">
        <f>HYPERLINK("https://www.kmpharma.in/product/134","N-Nitroso N-Desmethyl Sildenafil")</f>
        <v>N-Nitroso N-Desmethyl Sildenafil</v>
      </c>
      <c r="C1359" s="6" t="str">
        <f>HYPERLINK("https://www.kmpharma.in/product/134","KMS002001")</f>
        <v>KMS002001</v>
      </c>
      <c r="D1359" s="6" t="s">
        <v>35</v>
      </c>
      <c r="E1359" s="7" t="s">
        <v>323</v>
      </c>
    </row>
    <row r="1360" spans="1:5" x14ac:dyDescent="0.25">
      <c r="A1360" s="3">
        <v>1359</v>
      </c>
      <c r="B1360" s="3" t="str">
        <f>HYPERLINK("https://www.kmpharma.in/product/34839","N-Nitroso N-Desmethyl Sildenafil")</f>
        <v>N-Nitroso N-Desmethyl Sildenafil</v>
      </c>
      <c r="C1360" s="3" t="str">
        <f>HYPERLINK("https://www.kmpharma.in/product/34839","KMS002023")</f>
        <v>KMS002023</v>
      </c>
      <c r="D1360" s="3" t="s">
        <v>7</v>
      </c>
      <c r="E1360" s="5" t="s">
        <v>323</v>
      </c>
    </row>
    <row r="1361" spans="1:5" x14ac:dyDescent="0.25">
      <c r="A1361" s="6">
        <v>1360</v>
      </c>
      <c r="B1361" s="6" t="str">
        <f>HYPERLINK("https://www.kmpharma.in/product/31244","N-Nitroso N-Desmethyl Spinosyn A")</f>
        <v>N-Nitroso N-Desmethyl Spinosyn A</v>
      </c>
      <c r="C1361" s="6" t="str">
        <f>HYPERLINK("https://www.kmpharma.in/product/31244","KMS083002")</f>
        <v>KMS083002</v>
      </c>
      <c r="D1361" s="6" t="s">
        <v>168</v>
      </c>
      <c r="E1361" s="7" t="s">
        <v>323</v>
      </c>
    </row>
    <row r="1362" spans="1:5" x14ac:dyDescent="0.25">
      <c r="A1362" s="3">
        <v>1361</v>
      </c>
      <c r="B1362" s="3" t="str">
        <f>HYPERLINK("https://www.kmpharma.in/product/31245","N-Nitroso N-Desmethyl Spinosyn D")</f>
        <v>N-Nitroso N-Desmethyl Spinosyn D</v>
      </c>
      <c r="C1362" s="3" t="str">
        <f>HYPERLINK("https://www.kmpharma.in/product/31245","KMS083003")</f>
        <v>KMS083003</v>
      </c>
      <c r="D1362" s="3" t="s">
        <v>7</v>
      </c>
      <c r="E1362" s="5" t="s">
        <v>323</v>
      </c>
    </row>
    <row r="1363" spans="1:5" x14ac:dyDescent="0.25">
      <c r="A1363" s="6">
        <v>1362</v>
      </c>
      <c r="B1363" s="6" t="str">
        <f>HYPERLINK("https://www.kmpharma.in/product/32593","N-Nitroso N-Desmethyl Terbinafine")</f>
        <v>N-Nitroso N-Desmethyl Terbinafine</v>
      </c>
      <c r="C1363" s="6" t="str">
        <f>HYPERLINK("https://www.kmpharma.in/product/32593","KMT023003")</f>
        <v>KMT023003</v>
      </c>
      <c r="D1363" s="6" t="s">
        <v>7</v>
      </c>
      <c r="E1363" s="7" t="s">
        <v>321</v>
      </c>
    </row>
    <row r="1364" spans="1:5" x14ac:dyDescent="0.25">
      <c r="A1364" s="3">
        <v>1363</v>
      </c>
      <c r="B1364" s="3" t="str">
        <f>HYPERLINK("https://www.kmpharma.in/product/34214","N-Nitroso N-Desmethyl Tramadol")</f>
        <v>N-Nitroso N-Desmethyl Tramadol</v>
      </c>
      <c r="C1364" s="3" t="str">
        <f>HYPERLINK("https://www.kmpharma.in/product/34214","KMT010003")</f>
        <v>KMT010003</v>
      </c>
      <c r="D1364" s="3" t="s">
        <v>7</v>
      </c>
      <c r="E1364" s="5" t="s">
        <v>321</v>
      </c>
    </row>
    <row r="1365" spans="1:5" x14ac:dyDescent="0.25">
      <c r="A1365" s="6">
        <v>1364</v>
      </c>
      <c r="B1365" s="6" t="str">
        <f>HYPERLINK("https://www.kmpharma.in/product/34215","N-Nitroso N-Desmethyl Tramadol EP Impurity E")</f>
        <v>N-Nitroso N-Desmethyl Tramadol EP Impurity E</v>
      </c>
      <c r="C1365" s="6" t="str">
        <f>HYPERLINK("https://www.kmpharma.in/product/34215","KMT010004")</f>
        <v>KMT010004</v>
      </c>
      <c r="D1365" s="6" t="s">
        <v>7</v>
      </c>
      <c r="E1365" s="7" t="s">
        <v>321</v>
      </c>
    </row>
    <row r="1366" spans="1:5" x14ac:dyDescent="0.25">
      <c r="A1366" s="3">
        <v>1365</v>
      </c>
      <c r="B1366" s="3" t="str">
        <f>HYPERLINK("https://www.kmpharma.in/product/34561","N-Nitroso N-Desmethyl Trilaciclib")</f>
        <v>N-Nitroso N-Desmethyl Trilaciclib</v>
      </c>
      <c r="C1366" s="3" t="str">
        <f>HYPERLINK("https://www.kmpharma.in/product/34561","KMT186002")</f>
        <v>KMT186002</v>
      </c>
      <c r="D1366" s="3" t="s">
        <v>7</v>
      </c>
      <c r="E1366" s="3" t="s">
        <v>16</v>
      </c>
    </row>
    <row r="1367" spans="1:5" x14ac:dyDescent="0.25">
      <c r="A1367" s="6">
        <v>1366</v>
      </c>
      <c r="B1367" s="6" t="str">
        <f>HYPERLINK("https://www.kmpharma.in/product/38006","N-Nitroso N-Desmethyl Vandetanib")</f>
        <v>N-Nitroso N-Desmethyl Vandetanib</v>
      </c>
      <c r="C1367" s="6" t="str">
        <f>HYPERLINK("https://www.kmpharma.in/product/38006","KMV021002")</f>
        <v>KMV021002</v>
      </c>
      <c r="D1367" s="6" t="s">
        <v>7</v>
      </c>
      <c r="E1367" s="7" t="s">
        <v>323</v>
      </c>
    </row>
    <row r="1368" spans="1:5" x14ac:dyDescent="0.25">
      <c r="A1368" s="3">
        <v>1367</v>
      </c>
      <c r="B1368" s="3" t="str">
        <f>HYPERLINK("https://www.kmpharma.in/product/39512","N-Nitroso N-Desmethyl Zopiclone")</f>
        <v>N-Nitroso N-Desmethyl Zopiclone</v>
      </c>
      <c r="C1368" s="3" t="str">
        <f>HYPERLINK("https://www.kmpharma.in/product/39512","KMZ005006")</f>
        <v>KMZ005006</v>
      </c>
      <c r="D1368" s="3" t="s">
        <v>7</v>
      </c>
      <c r="E1368" s="3" t="s">
        <v>16</v>
      </c>
    </row>
    <row r="1369" spans="1:5" x14ac:dyDescent="0.25">
      <c r="A1369" s="6">
        <v>1368</v>
      </c>
      <c r="B1369" s="6" t="str">
        <f>HYPERLINK("https://www.kmpharma.in/product/29265","N-Nitroso N-Despropyl Ropivacaine")</f>
        <v>N-Nitroso N-Despropyl Ropivacaine</v>
      </c>
      <c r="C1369" s="6" t="str">
        <f>HYPERLINK("https://www.kmpharma.in/product/29265","KMR082001")</f>
        <v>KMR082001</v>
      </c>
      <c r="D1369" s="6" t="s">
        <v>7</v>
      </c>
      <c r="E1369" s="7" t="s">
        <v>321</v>
      </c>
    </row>
    <row r="1370" spans="1:5" x14ac:dyDescent="0.25">
      <c r="A1370" s="3">
        <v>1369</v>
      </c>
      <c r="B1370" s="3" t="str">
        <f>HYPERLINK("https://www.kmpharma.in/product/13680","N-Nitroso N-Ethyl Fingolimod")</f>
        <v>N-Nitroso N-Ethyl Fingolimod</v>
      </c>
      <c r="C1370" s="3" t="str">
        <f>HYPERLINK("https://www.kmpharma.in/product/13680","KMF050065")</f>
        <v>KMF050065</v>
      </c>
      <c r="D1370" s="3" t="s">
        <v>7</v>
      </c>
      <c r="E1370" s="5" t="s">
        <v>321</v>
      </c>
    </row>
    <row r="1371" spans="1:5" x14ac:dyDescent="0.25">
      <c r="A1371" s="6">
        <v>1370</v>
      </c>
      <c r="B1371" s="6" t="str">
        <f>HYPERLINK("https://www.kmpharma.in/product/23041","N-Nitroso N-Ethylethylenediamine")</f>
        <v>N-Nitroso N-Ethylethylenediamine</v>
      </c>
      <c r="C1371" s="6" t="str">
        <f>HYPERLINK("https://www.kmpharma.in/product/23041","KMN084063")</f>
        <v>KMN084063</v>
      </c>
      <c r="D1371" s="6" t="s">
        <v>169</v>
      </c>
      <c r="E1371" s="6" t="s">
        <v>16</v>
      </c>
    </row>
    <row r="1372" spans="1:5" x14ac:dyDescent="0.25">
      <c r="A1372" s="3">
        <v>1371</v>
      </c>
      <c r="B1372" s="3" t="str">
        <f>HYPERLINK("https://www.kmpharma.in/product/23042","N-Nitroso N-Isopropyl Aniline")</f>
        <v>N-Nitroso N-Isopropyl Aniline</v>
      </c>
      <c r="C1372" s="3" t="str">
        <f>HYPERLINK("https://www.kmpharma.in/product/23042","KMN084064")</f>
        <v>KMN084064</v>
      </c>
      <c r="D1372" s="3" t="s">
        <v>170</v>
      </c>
      <c r="E1372" s="5" t="s">
        <v>323</v>
      </c>
    </row>
    <row r="1373" spans="1:5" x14ac:dyDescent="0.25">
      <c r="A1373" s="6">
        <v>1372</v>
      </c>
      <c r="B1373" s="6" t="str">
        <f>HYPERLINK("https://www.kmpharma.in/product/39120","N-Nitroso N-Methyl 4-Amino Butyric Acid 13CD3 15N")</f>
        <v>N-Nitroso N-Methyl 4-Amino Butyric Acid 13CD3 15N</v>
      </c>
      <c r="C1373" s="6" t="str">
        <f>HYPERLINK("https://www.kmpharma.in/product/39120","KMV008011")</f>
        <v>KMV008011</v>
      </c>
      <c r="D1373" s="6" t="s">
        <v>7</v>
      </c>
      <c r="E1373" s="7" t="s">
        <v>321</v>
      </c>
    </row>
    <row r="1374" spans="1:5" x14ac:dyDescent="0.25">
      <c r="A1374" s="3">
        <v>1373</v>
      </c>
      <c r="B1374" s="3" t="str">
        <f>HYPERLINK("https://www.kmpharma.in/product/23069","N-nitroso N-Propyl Sulfamide")</f>
        <v>N-nitroso N-Propyl Sulfamide</v>
      </c>
      <c r="C1374" s="3" t="str">
        <f>HYPERLINK("https://www.kmpharma.in/product/23069","KMN084065")</f>
        <v>KMN084065</v>
      </c>
      <c r="D1374" s="3" t="s">
        <v>7</v>
      </c>
      <c r="E1374" s="5" t="s">
        <v>321</v>
      </c>
    </row>
    <row r="1375" spans="1:5" x14ac:dyDescent="0.25">
      <c r="A1375" s="6">
        <v>1374</v>
      </c>
      <c r="B1375" s="6" t="str">
        <f>HYPERLINK("https://www.kmpharma.in/product/23043","N-Nitroso N-propylcyclooct-2-en-1-amine")</f>
        <v>N-Nitroso N-propylcyclooct-2-en-1-amine</v>
      </c>
      <c r="C1375" s="6" t="str">
        <f>HYPERLINK("https://www.kmpharma.in/product/23043","KMN084066")</f>
        <v>KMN084066</v>
      </c>
      <c r="D1375" s="6" t="s">
        <v>7</v>
      </c>
      <c r="E1375" s="7" t="s">
        <v>321</v>
      </c>
    </row>
    <row r="1376" spans="1:5" x14ac:dyDescent="0.25">
      <c r="A1376" s="3">
        <v>1375</v>
      </c>
      <c r="B1376" s="3" t="str">
        <f>HYPERLINK("https://www.kmpharma.in/product/23040","N-Nitroso N1-Methylbenzene-1,4-diamine")</f>
        <v>N-Nitroso N1-Methylbenzene-1,4-diamine</v>
      </c>
      <c r="C1376" s="3" t="str">
        <f>HYPERLINK("https://www.kmpharma.in/product/23040","KMN084067")</f>
        <v>KMN084067</v>
      </c>
      <c r="D1376" s="3" t="s">
        <v>7</v>
      </c>
      <c r="E1376" s="5" t="s">
        <v>321</v>
      </c>
    </row>
    <row r="1377" spans="1:5" x14ac:dyDescent="0.25">
      <c r="A1377" s="6">
        <v>1376</v>
      </c>
      <c r="B1377" s="6" t="str">
        <f>HYPERLINK("https://www.kmpharma.in/product/21787","N-Nitroso Nadolol Impurity")</f>
        <v>N-Nitroso Nadolol Impurity</v>
      </c>
      <c r="C1377" s="6" t="str">
        <f>HYPERLINK("https://www.kmpharma.in/product/21787","KMN015005")</f>
        <v>KMN015005</v>
      </c>
      <c r="D1377" s="6" t="s">
        <v>35</v>
      </c>
      <c r="E1377" s="7" t="s">
        <v>321</v>
      </c>
    </row>
    <row r="1378" spans="1:5" x14ac:dyDescent="0.25">
      <c r="A1378" s="3">
        <v>1377</v>
      </c>
      <c r="B1378" s="3" t="str">
        <f>HYPERLINK("https://www.kmpharma.in/product/21866","N-Nitroso Naloxone EP Impurity A")</f>
        <v>N-Nitroso Naloxone EP Impurity A</v>
      </c>
      <c r="C1378" s="3" t="str">
        <f>HYPERLINK("https://www.kmpharma.in/product/21866","KMN028010")</f>
        <v>KMN028010</v>
      </c>
      <c r="D1378" s="3" t="s">
        <v>7</v>
      </c>
      <c r="E1378" s="5" t="s">
        <v>323</v>
      </c>
    </row>
    <row r="1379" spans="1:5" x14ac:dyDescent="0.25">
      <c r="A1379" s="6">
        <v>1378</v>
      </c>
      <c r="B1379" s="6" t="str">
        <f>HYPERLINK("https://www.kmpharma.in/product/21923","N-Nitroso Naphazoline")</f>
        <v>N-Nitroso Naphazoline</v>
      </c>
      <c r="C1379" s="6" t="str">
        <f>HYPERLINK("https://www.kmpharma.in/product/21923","KMN031001")</f>
        <v>KMN031001</v>
      </c>
      <c r="D1379" s="6" t="s">
        <v>7</v>
      </c>
      <c r="E1379" s="7" t="s">
        <v>321</v>
      </c>
    </row>
    <row r="1380" spans="1:5" x14ac:dyDescent="0.25">
      <c r="A1380" s="3">
        <v>1379</v>
      </c>
      <c r="B1380" s="3" t="str">
        <f>HYPERLINK("https://www.kmpharma.in/product/22002","N-Nitroso Naratriptan")</f>
        <v>N-Nitroso Naratriptan</v>
      </c>
      <c r="C1380" s="3" t="str">
        <f>HYPERLINK("https://www.kmpharma.in/product/22002","KMN034002")</f>
        <v>KMN034002</v>
      </c>
      <c r="D1380" s="3" t="s">
        <v>171</v>
      </c>
      <c r="E1380" s="5" t="s">
        <v>323</v>
      </c>
    </row>
    <row r="1381" spans="1:5" x14ac:dyDescent="0.25">
      <c r="A1381" s="6">
        <v>1380</v>
      </c>
      <c r="B1381" s="6" t="str">
        <f>HYPERLINK("https://www.kmpharma.in/product/22121","N-Nitroso Nebivolol D4")</f>
        <v>N-Nitroso Nebivolol D4</v>
      </c>
      <c r="C1381" s="6" t="str">
        <f>HYPERLINK("https://www.kmpharma.in/product/22121","KMN007012")</f>
        <v>KMN007012</v>
      </c>
      <c r="D1381" s="6" t="s">
        <v>7</v>
      </c>
      <c r="E1381" s="6" t="s">
        <v>16</v>
      </c>
    </row>
    <row r="1382" spans="1:5" x14ac:dyDescent="0.25">
      <c r="A1382" s="3">
        <v>1381</v>
      </c>
      <c r="B1382" s="3" t="str">
        <f>HYPERLINK("https://www.kmpharma.in/product/22262","N-Nitroso Neratinib")</f>
        <v>N-Nitroso Neratinib</v>
      </c>
      <c r="C1382" s="3" t="str">
        <f>HYPERLINK("https://www.kmpharma.in/product/22262","KMN049002")</f>
        <v>KMN049002</v>
      </c>
      <c r="D1382" s="3" t="s">
        <v>7</v>
      </c>
      <c r="E1382" s="5" t="s">
        <v>321</v>
      </c>
    </row>
    <row r="1383" spans="1:5" x14ac:dyDescent="0.25">
      <c r="A1383" s="6">
        <v>1382</v>
      </c>
      <c r="B1383" s="6" t="str">
        <f>HYPERLINK("https://www.kmpharma.in/product/22306","N-Nitroso Nevirapine")</f>
        <v>N-Nitroso Nevirapine</v>
      </c>
      <c r="C1383" s="6" t="str">
        <f>HYPERLINK("https://www.kmpharma.in/product/22306","KMN053001")</f>
        <v>KMN053001</v>
      </c>
      <c r="D1383" s="6" t="s">
        <v>7</v>
      </c>
      <c r="E1383" s="7" t="s">
        <v>321</v>
      </c>
    </row>
    <row r="1384" spans="1:5" x14ac:dyDescent="0.25">
      <c r="A1384" s="3">
        <v>1383</v>
      </c>
      <c r="B1384" s="3" t="str">
        <f>HYPERLINK("https://www.kmpharma.in/product/22307","N-Nitroso Nevirapine EP Impurity B")</f>
        <v>N-Nitroso Nevirapine EP Impurity B</v>
      </c>
      <c r="C1384" s="3" t="str">
        <f>HYPERLINK("https://www.kmpharma.in/product/22307","KMN053002")</f>
        <v>KMN053002</v>
      </c>
      <c r="D1384" s="3" t="s">
        <v>7</v>
      </c>
      <c r="E1384" s="5" t="s">
        <v>321</v>
      </c>
    </row>
    <row r="1385" spans="1:5" x14ac:dyDescent="0.25">
      <c r="A1385" s="6">
        <v>1384</v>
      </c>
      <c r="B1385" s="6" t="str">
        <f>HYPERLINK("https://www.kmpharma.in/product/22373","N-Nitroso Nicergoline EP Impurity B")</f>
        <v>N-Nitroso Nicergoline EP Impurity B</v>
      </c>
      <c r="C1385" s="6" t="str">
        <f>HYPERLINK("https://www.kmpharma.in/product/22373","KMN058001")</f>
        <v>KMN058001</v>
      </c>
      <c r="D1385" s="6" t="s">
        <v>7</v>
      </c>
      <c r="E1385" s="7" t="s">
        <v>321</v>
      </c>
    </row>
    <row r="1386" spans="1:5" x14ac:dyDescent="0.25">
      <c r="A1386" s="3">
        <v>1385</v>
      </c>
      <c r="B1386" s="3" t="str">
        <f>HYPERLINK("https://www.kmpharma.in/product/22372","N-Nitroso Nicergoline EP Impurity H")</f>
        <v>N-Nitroso Nicergoline EP Impurity H</v>
      </c>
      <c r="C1386" s="3" t="str">
        <f>HYPERLINK("https://www.kmpharma.in/product/22372","KMN058002")</f>
        <v>KMN058002</v>
      </c>
      <c r="D1386" s="3" t="s">
        <v>7</v>
      </c>
      <c r="E1386" s="5" t="s">
        <v>321</v>
      </c>
    </row>
    <row r="1387" spans="1:5" x14ac:dyDescent="0.25">
      <c r="A1387" s="6">
        <v>1386</v>
      </c>
      <c r="B1387" s="6" t="str">
        <f>HYPERLINK("https://www.kmpharma.in/product/22494","N-Nitroso Niflumic Acid")</f>
        <v>N-Nitroso Niflumic Acid</v>
      </c>
      <c r="C1387" s="6" t="str">
        <f>HYPERLINK("https://www.kmpharma.in/product/22494","KMN063001")</f>
        <v>KMN063001</v>
      </c>
      <c r="D1387" s="6" t="s">
        <v>7</v>
      </c>
      <c r="E1387" s="7" t="s">
        <v>321</v>
      </c>
    </row>
    <row r="1388" spans="1:5" x14ac:dyDescent="0.25">
      <c r="A1388" s="3">
        <v>1387</v>
      </c>
      <c r="B1388" s="3" t="str">
        <f>HYPERLINK("https://www.kmpharma.in/product/22599","N-Nitroso Nilotinib EP Impurity D")</f>
        <v>N-Nitroso Nilotinib EP Impurity D</v>
      </c>
      <c r="C1388" s="3" t="str">
        <f>HYPERLINK("https://www.kmpharma.in/product/22599","KMN005002")</f>
        <v>KMN005002</v>
      </c>
      <c r="D1388" s="3" t="s">
        <v>7</v>
      </c>
      <c r="E1388" s="5" t="s">
        <v>321</v>
      </c>
    </row>
    <row r="1389" spans="1:5" x14ac:dyDescent="0.25">
      <c r="A1389" s="6">
        <v>1388</v>
      </c>
      <c r="B1389" s="6" t="str">
        <f>HYPERLINK("https://www.kmpharma.in/product/22600","N-Nitroso Nilotinib EP Impurity E")</f>
        <v>N-Nitroso Nilotinib EP Impurity E</v>
      </c>
      <c r="C1389" s="6" t="str">
        <f>HYPERLINK("https://www.kmpharma.in/product/22600","KMN005003")</f>
        <v>KMN005003</v>
      </c>
      <c r="D1389" s="6" t="s">
        <v>7</v>
      </c>
      <c r="E1389" s="7" t="s">
        <v>321</v>
      </c>
    </row>
    <row r="1390" spans="1:5" x14ac:dyDescent="0.25">
      <c r="A1390" s="3">
        <v>1389</v>
      </c>
      <c r="B1390" s="3" t="str">
        <f>HYPERLINK("https://www.kmpharma.in/product/22596","N-Nitroso Nilotinib Impurity 2")</f>
        <v>N-Nitroso Nilotinib Impurity 2</v>
      </c>
      <c r="C1390" s="3" t="str">
        <f>HYPERLINK("https://www.kmpharma.in/product/22596","KMN005004")</f>
        <v>KMN005004</v>
      </c>
      <c r="D1390" s="3" t="s">
        <v>7</v>
      </c>
      <c r="E1390" s="5" t="s">
        <v>321</v>
      </c>
    </row>
    <row r="1391" spans="1:5" x14ac:dyDescent="0.25">
      <c r="A1391" s="6">
        <v>1390</v>
      </c>
      <c r="B1391" s="6" t="str">
        <f>HYPERLINK("https://www.kmpharma.in/product/22601","N-Nitroso Nilotinib Impurity 3")</f>
        <v>N-Nitroso Nilotinib Impurity 3</v>
      </c>
      <c r="C1391" s="6" t="str">
        <f>HYPERLINK("https://www.kmpharma.in/product/22601","KMN005005")</f>
        <v>KMN005005</v>
      </c>
      <c r="D1391" s="6" t="s">
        <v>7</v>
      </c>
      <c r="E1391" s="7" t="s">
        <v>321</v>
      </c>
    </row>
    <row r="1392" spans="1:5" x14ac:dyDescent="0.25">
      <c r="A1392" s="3">
        <v>1391</v>
      </c>
      <c r="B1392" s="3" t="str">
        <f>HYPERLINK("https://www.kmpharma.in/product/22597","N-Nitroso Nilotinib N-Oxide")</f>
        <v>N-Nitroso Nilotinib N-Oxide</v>
      </c>
      <c r="C1392" s="3" t="str">
        <f>HYPERLINK("https://www.kmpharma.in/product/22597","KMN005006")</f>
        <v>KMN005006</v>
      </c>
      <c r="D1392" s="3" t="s">
        <v>7</v>
      </c>
      <c r="E1392" s="5" t="s">
        <v>321</v>
      </c>
    </row>
    <row r="1393" spans="1:5" x14ac:dyDescent="0.25">
      <c r="A1393" s="6">
        <v>1392</v>
      </c>
      <c r="B1393" s="6" t="str">
        <f>HYPERLINK("https://www.kmpharma.in/product/22717","N-Nitroso Nintedanib")</f>
        <v>N-Nitroso Nintedanib</v>
      </c>
      <c r="C1393" s="6" t="str">
        <f>HYPERLINK("https://www.kmpharma.in/product/22717","KMN002011")</f>
        <v>KMN002011</v>
      </c>
      <c r="D1393" s="6" t="s">
        <v>7</v>
      </c>
      <c r="E1393" s="7" t="s">
        <v>321</v>
      </c>
    </row>
    <row r="1394" spans="1:5" x14ac:dyDescent="0.25">
      <c r="A1394" s="3">
        <v>1393</v>
      </c>
      <c r="B1394" s="3" t="str">
        <f>HYPERLINK("https://www.kmpharma.in/product/22718","N-Nitroso Nintedanib Impurity 1")</f>
        <v>N-Nitroso Nintedanib Impurity 1</v>
      </c>
      <c r="C1394" s="3" t="str">
        <f>HYPERLINK("https://www.kmpharma.in/product/22718","KMN002012")</f>
        <v>KMN002012</v>
      </c>
      <c r="D1394" s="3" t="s">
        <v>7</v>
      </c>
      <c r="E1394" s="5" t="s">
        <v>321</v>
      </c>
    </row>
    <row r="1395" spans="1:5" x14ac:dyDescent="0.25">
      <c r="A1395" s="6">
        <v>1394</v>
      </c>
      <c r="B1395" s="6" t="str">
        <f>HYPERLINK("https://www.kmpharma.in/product/22789","N-Nitroso Niraparib")</f>
        <v>N-Nitroso Niraparib</v>
      </c>
      <c r="C1395" s="6" t="str">
        <f>HYPERLINK("https://www.kmpharma.in/product/22789","KMN073002")</f>
        <v>KMN073002</v>
      </c>
      <c r="D1395" s="6" t="s">
        <v>7</v>
      </c>
      <c r="E1395" s="7" t="s">
        <v>321</v>
      </c>
    </row>
    <row r="1396" spans="1:5" x14ac:dyDescent="0.25">
      <c r="A1396" s="3">
        <v>1395</v>
      </c>
      <c r="B1396" s="3" t="str">
        <f>HYPERLINK("https://www.kmpharma.in/product/22790","N-Nitroso Niraparib (Hydrate Salt)")</f>
        <v>N-Nitroso Niraparib (Hydrate Salt)</v>
      </c>
      <c r="C1396" s="3" t="str">
        <f>HYPERLINK("https://www.kmpharma.in/product/22790","KMN073003")</f>
        <v>KMN073003</v>
      </c>
      <c r="D1396" s="3" t="s">
        <v>7</v>
      </c>
      <c r="E1396" s="3" t="s">
        <v>16</v>
      </c>
    </row>
    <row r="1397" spans="1:5" x14ac:dyDescent="0.25">
      <c r="A1397" s="6">
        <v>1396</v>
      </c>
      <c r="B1397" s="6" t="str">
        <f>HYPERLINK("https://www.kmpharma.in/product/22847","N-Nitroso Nirogacestat")</f>
        <v>N-Nitroso Nirogacestat</v>
      </c>
      <c r="C1397" s="6" t="str">
        <f>HYPERLINK("https://www.kmpharma.in/product/22847","KMN075001")</f>
        <v>KMN075001</v>
      </c>
      <c r="D1397" s="6" t="s">
        <v>7</v>
      </c>
      <c r="E1397" s="7" t="s">
        <v>321</v>
      </c>
    </row>
    <row r="1398" spans="1:5" x14ac:dyDescent="0.25">
      <c r="A1398" s="3">
        <v>1397</v>
      </c>
      <c r="B1398" s="3" t="str">
        <f>HYPERLINK("https://www.kmpharma.in/product/22848","N-Nitroso Nirogacestat Impurity 1")</f>
        <v>N-Nitroso Nirogacestat Impurity 1</v>
      </c>
      <c r="C1398" s="3" t="str">
        <f>HYPERLINK("https://www.kmpharma.in/product/22848","KMN075002")</f>
        <v>KMN075002</v>
      </c>
      <c r="D1398" s="3" t="s">
        <v>7</v>
      </c>
      <c r="E1398" s="5" t="s">
        <v>321</v>
      </c>
    </row>
    <row r="1399" spans="1:5" x14ac:dyDescent="0.25">
      <c r="A1399" s="6">
        <v>1398</v>
      </c>
      <c r="B1399" s="6" t="str">
        <f>HYPERLINK("https://www.kmpharma.in/product/22858","N-Nitroso Nisoldipine")</f>
        <v>N-Nitroso Nisoldipine</v>
      </c>
      <c r="C1399" s="6" t="str">
        <f>HYPERLINK("https://www.kmpharma.in/product/22858","KMN076002")</f>
        <v>KMN076002</v>
      </c>
      <c r="D1399" s="6" t="s">
        <v>7</v>
      </c>
      <c r="E1399" s="7" t="s">
        <v>321</v>
      </c>
    </row>
    <row r="1400" spans="1:5" x14ac:dyDescent="0.25">
      <c r="A1400" s="3">
        <v>1399</v>
      </c>
      <c r="B1400" s="3" t="str">
        <f>HYPERLINK("https://www.kmpharma.in/product/22865","N-Nitroso Nitazoxanide")</f>
        <v>N-Nitroso Nitazoxanide</v>
      </c>
      <c r="C1400" s="3" t="str">
        <f>HYPERLINK("https://www.kmpharma.in/product/22865","KMN077001")</f>
        <v>KMN077001</v>
      </c>
      <c r="D1400" s="3" t="s">
        <v>7</v>
      </c>
      <c r="E1400" s="5" t="s">
        <v>321</v>
      </c>
    </row>
    <row r="1401" spans="1:5" x14ac:dyDescent="0.25">
      <c r="A1401" s="6">
        <v>1400</v>
      </c>
      <c r="B1401" s="6" t="str">
        <f>HYPERLINK("https://www.kmpharma.in/product/22890","N-Nitroso Nitrendipine")</f>
        <v>N-Nitroso Nitrendipine</v>
      </c>
      <c r="C1401" s="6" t="str">
        <f>HYPERLINK("https://www.kmpharma.in/product/22890","KMN081001")</f>
        <v>KMN081001</v>
      </c>
      <c r="D1401" s="6" t="s">
        <v>7</v>
      </c>
      <c r="E1401" s="7" t="s">
        <v>321</v>
      </c>
    </row>
    <row r="1402" spans="1:5" x14ac:dyDescent="0.25">
      <c r="A1402" s="3">
        <v>1401</v>
      </c>
      <c r="B1402" s="3" t="str">
        <f>HYPERLINK("https://www.kmpharma.in/product/22907","N-Nitroso Nitrofurantoin")</f>
        <v>N-Nitroso Nitrofurantoin</v>
      </c>
      <c r="C1402" s="3" t="str">
        <f>HYPERLINK("https://www.kmpharma.in/product/22907","KMN003003")</f>
        <v>KMN003003</v>
      </c>
      <c r="D1402" s="3" t="s">
        <v>7</v>
      </c>
      <c r="E1402" s="5" t="s">
        <v>321</v>
      </c>
    </row>
    <row r="1403" spans="1:5" x14ac:dyDescent="0.25">
      <c r="A1403" s="6">
        <v>1402</v>
      </c>
      <c r="B1403" s="6" t="str">
        <f>HYPERLINK("https://www.kmpharma.in/product/10174","N-Nitroso Nitroso Dimenhydrinate")</f>
        <v>N-Nitroso Nitroso Dimenhydrinate</v>
      </c>
      <c r="C1403" s="6" t="str">
        <f>HYPERLINK("https://www.kmpharma.in/product/10174","KMD120018")</f>
        <v>KMD120018</v>
      </c>
      <c r="D1403" s="6" t="s">
        <v>7</v>
      </c>
      <c r="E1403" s="7" t="s">
        <v>321</v>
      </c>
    </row>
    <row r="1404" spans="1:5" x14ac:dyDescent="0.25">
      <c r="A1404" s="3">
        <v>1403</v>
      </c>
      <c r="B1404" s="3" t="str">
        <f>HYPERLINK("https://www.kmpharma.in/product/23248","N-Nitroso Norfloxacin")</f>
        <v>N-Nitroso Norfloxacin</v>
      </c>
      <c r="C1404" s="3" t="str">
        <f>HYPERLINK("https://www.kmpharma.in/product/23248","KMN096002")</f>
        <v>KMN096002</v>
      </c>
      <c r="D1404" s="3" t="s">
        <v>172</v>
      </c>
      <c r="E1404" s="5" t="s">
        <v>321</v>
      </c>
    </row>
    <row r="1405" spans="1:5" x14ac:dyDescent="0.25">
      <c r="A1405" s="6">
        <v>1404</v>
      </c>
      <c r="B1405" s="6" t="str">
        <f>HYPERLINK("https://www.kmpharma.in/product/7150","N-Nitroso Norpheniramine")</f>
        <v>N-Nitroso Norpheniramine</v>
      </c>
      <c r="C1405" s="6" t="str">
        <f>HYPERLINK("https://www.kmpharma.in/product/7150","KMC149027")</f>
        <v>KMC149027</v>
      </c>
      <c r="D1405" s="6" t="s">
        <v>7</v>
      </c>
      <c r="E1405" s="7" t="s">
        <v>324</v>
      </c>
    </row>
    <row r="1406" spans="1:5" x14ac:dyDescent="0.25">
      <c r="A1406" s="3">
        <v>1405</v>
      </c>
      <c r="B1406" s="3" t="str">
        <f>HYPERLINK("https://www.kmpharma.in/product/23266","N-Nitroso Nortilidine")</f>
        <v>N-Nitroso Nortilidine</v>
      </c>
      <c r="C1406" s="3" t="str">
        <f>HYPERLINK("https://www.kmpharma.in/product/23266","KMN101001")</f>
        <v>KMN101001</v>
      </c>
      <c r="D1406" s="3" t="s">
        <v>7</v>
      </c>
      <c r="E1406" s="5" t="s">
        <v>321</v>
      </c>
    </row>
    <row r="1407" spans="1:5" x14ac:dyDescent="0.25">
      <c r="A1407" s="6">
        <v>1406</v>
      </c>
      <c r="B1407" s="6" t="str">
        <f>HYPERLINK("https://www.kmpharma.in/product/23288","N-Nitroso Nortriptyline (USP)")</f>
        <v>N-Nitroso Nortriptyline (USP)</v>
      </c>
      <c r="C1407" s="6" t="str">
        <f>HYPERLINK("https://www.kmpharma.in/product/23288","KMN102007")</f>
        <v>KMN102007</v>
      </c>
      <c r="D1407" s="6" t="s">
        <v>173</v>
      </c>
      <c r="E1407" s="7" t="s">
        <v>321</v>
      </c>
    </row>
    <row r="1408" spans="1:5" x14ac:dyDescent="0.25">
      <c r="A1408" s="3">
        <v>1407</v>
      </c>
      <c r="B1408" s="3" t="str">
        <f>HYPERLINK("https://www.kmpharma.in/product/23286","N-Nitroso Nortriptyline D3")</f>
        <v>N-Nitroso Nortriptyline D3</v>
      </c>
      <c r="C1408" s="3" t="str">
        <f>HYPERLINK("https://www.kmpharma.in/product/23286","KMN102008")</f>
        <v>KMN102008</v>
      </c>
      <c r="D1408" s="3" t="s">
        <v>7</v>
      </c>
      <c r="E1408" s="3" t="s">
        <v>16</v>
      </c>
    </row>
    <row r="1409" spans="1:5" x14ac:dyDescent="0.25">
      <c r="A1409" s="6">
        <v>1408</v>
      </c>
      <c r="B1409" s="6" t="str">
        <f>HYPERLINK("https://www.kmpharma.in/product/38722","N-Nitroso Norvinblastine")</f>
        <v>N-Nitroso Norvinblastine</v>
      </c>
      <c r="C1409" s="6" t="str">
        <f>HYPERLINK("https://www.kmpharma.in/product/38722","KMV035001")</f>
        <v>KMV035001</v>
      </c>
      <c r="D1409" s="6" t="s">
        <v>7</v>
      </c>
      <c r="E1409" s="7" t="s">
        <v>321</v>
      </c>
    </row>
    <row r="1410" spans="1:5" x14ac:dyDescent="0.25">
      <c r="A1410" s="3">
        <v>1409</v>
      </c>
      <c r="B1410" s="3" t="str">
        <f>HYPERLINK("https://www.kmpharma.in/product/36617","N-Nitroso O-Benzyl Indacaterol")</f>
        <v>N-Nitroso O-Benzyl Indacaterol</v>
      </c>
      <c r="C1410" s="3" t="str">
        <f>HYPERLINK("https://www.kmpharma.in/product/36617","KMI035053")</f>
        <v>KMI035053</v>
      </c>
      <c r="D1410" s="3" t="s">
        <v>7</v>
      </c>
      <c r="E1410" s="5" t="s">
        <v>323</v>
      </c>
    </row>
    <row r="1411" spans="1:5" x14ac:dyDescent="0.25">
      <c r="A1411" s="6">
        <v>1410</v>
      </c>
      <c r="B1411" s="6" t="str">
        <f>HYPERLINK("https://www.kmpharma.in/product/4913","N-Nitroso O-Desmethyl Brinzolamide")</f>
        <v>N-Nitroso O-Desmethyl Brinzolamide</v>
      </c>
      <c r="C1411" s="6" t="str">
        <f>HYPERLINK("https://www.kmpharma.in/product/4913","KMB095032")</f>
        <v>KMB095032</v>
      </c>
      <c r="D1411" s="6" t="s">
        <v>7</v>
      </c>
      <c r="E1411" s="7" t="s">
        <v>324</v>
      </c>
    </row>
    <row r="1412" spans="1:5" x14ac:dyDescent="0.25">
      <c r="A1412" s="3">
        <v>1411</v>
      </c>
      <c r="B1412" s="3" t="str">
        <f>HYPERLINK("https://www.kmpharma.in/product/102","N-NITROSO OF AZITHROMYCIN IMPURITY-I")</f>
        <v>N-NITROSO OF AZITHROMYCIN IMPURITY-I</v>
      </c>
      <c r="C1412" s="3" t="str">
        <f>HYPERLINK("https://www.kmpharma.in/product/102","KMA001001")</f>
        <v>KMA001001</v>
      </c>
      <c r="D1412" s="3" t="s">
        <v>35</v>
      </c>
      <c r="E1412" s="5" t="s">
        <v>324</v>
      </c>
    </row>
    <row r="1413" spans="1:5" x14ac:dyDescent="0.25">
      <c r="A1413" s="6">
        <v>1412</v>
      </c>
      <c r="B1413" s="6" t="str">
        <f>HYPERLINK("https://www.kmpharma.in/product/295","N-Nitroso of GAT-II")</f>
        <v>N-Nitroso of GAT-II</v>
      </c>
      <c r="C1413" s="6" t="str">
        <f>HYPERLINK("https://www.kmpharma.in/product/295","KMG001004")</f>
        <v>KMG001004</v>
      </c>
      <c r="D1413" s="6" t="s">
        <v>35</v>
      </c>
      <c r="E1413" s="7" t="s">
        <v>321</v>
      </c>
    </row>
    <row r="1414" spans="1:5" x14ac:dyDescent="0.25">
      <c r="A1414" s="3">
        <v>1413</v>
      </c>
      <c r="B1414" s="3" t="str">
        <f>HYPERLINK("https://www.kmpharma.in/product/23423","N-Nitroso Ofloxacin EP Impurity E")</f>
        <v>N-Nitroso Ofloxacin EP Impurity E</v>
      </c>
      <c r="C1414" s="3" t="str">
        <f>HYPERLINK("https://www.kmpharma.in/product/23423","KMO019004")</f>
        <v>KMO019004</v>
      </c>
      <c r="D1414" s="3" t="s">
        <v>7</v>
      </c>
      <c r="E1414" s="5" t="s">
        <v>322</v>
      </c>
    </row>
    <row r="1415" spans="1:5" x14ac:dyDescent="0.25">
      <c r="A1415" s="6">
        <v>1414</v>
      </c>
      <c r="B1415" s="6" t="str">
        <f>HYPERLINK("https://www.kmpharma.in/product/23466","N-Nitroso Olanzapine")</f>
        <v>N-Nitroso Olanzapine</v>
      </c>
      <c r="C1415" s="6" t="str">
        <f>HYPERLINK("https://www.kmpharma.in/product/23466","KMO007010")</f>
        <v>KMO007010</v>
      </c>
      <c r="D1415" s="6" t="s">
        <v>7</v>
      </c>
      <c r="E1415" s="7" t="s">
        <v>322</v>
      </c>
    </row>
    <row r="1416" spans="1:5" x14ac:dyDescent="0.25">
      <c r="A1416" s="3">
        <v>1415</v>
      </c>
      <c r="B1416" s="3" t="str">
        <f>HYPERLINK("https://www.kmpharma.in/product/23467","N-Nitroso Olanzapine Amine Impurity")</f>
        <v>N-Nitroso Olanzapine Amine Impurity</v>
      </c>
      <c r="C1416" s="3" t="str">
        <f>HYPERLINK("https://www.kmpharma.in/product/23467","KMO007011")</f>
        <v>KMO007011</v>
      </c>
      <c r="D1416" s="3" t="s">
        <v>7</v>
      </c>
      <c r="E1416" s="5" t="s">
        <v>321</v>
      </c>
    </row>
    <row r="1417" spans="1:5" x14ac:dyDescent="0.25">
      <c r="A1417" s="6">
        <v>1416</v>
      </c>
      <c r="B1417" s="6" t="str">
        <f>HYPERLINK("https://www.kmpharma.in/product/23461","N-Nitroso Olanzapine D3")</f>
        <v>N-Nitroso Olanzapine D3</v>
      </c>
      <c r="C1417" s="6" t="str">
        <f>HYPERLINK("https://www.kmpharma.in/product/23461","KMO007012")</f>
        <v>KMO007012</v>
      </c>
      <c r="D1417" s="6" t="s">
        <v>7</v>
      </c>
      <c r="E1417" s="7" t="s">
        <v>322</v>
      </c>
    </row>
    <row r="1418" spans="1:5" x14ac:dyDescent="0.25">
      <c r="A1418" s="3">
        <v>1417</v>
      </c>
      <c r="B1418" s="3" t="str">
        <f>HYPERLINK("https://www.kmpharma.in/product/23468","N-Nitroso Olanzapine EP Impurity A")</f>
        <v>N-Nitroso Olanzapine EP Impurity A</v>
      </c>
      <c r="C1418" s="3" t="str">
        <f>HYPERLINK("https://www.kmpharma.in/product/23468","KMO007013")</f>
        <v>KMO007013</v>
      </c>
      <c r="D1418" s="3" t="s">
        <v>7</v>
      </c>
      <c r="E1418" s="5" t="s">
        <v>322</v>
      </c>
    </row>
    <row r="1419" spans="1:5" x14ac:dyDescent="0.25">
      <c r="A1419" s="6">
        <v>1418</v>
      </c>
      <c r="B1419" s="6" t="str">
        <f>HYPERLINK("https://www.kmpharma.in/product/23464","N-Nitroso Olanzapine EP Impurity B")</f>
        <v>N-Nitroso Olanzapine EP Impurity B</v>
      </c>
      <c r="C1419" s="6" t="str">
        <f>HYPERLINK("https://www.kmpharma.in/product/23464","KMO007014")</f>
        <v>KMO007014</v>
      </c>
      <c r="D1419" s="6" t="s">
        <v>7</v>
      </c>
      <c r="E1419" s="7" t="s">
        <v>322</v>
      </c>
    </row>
    <row r="1420" spans="1:5" x14ac:dyDescent="0.25">
      <c r="A1420" s="3">
        <v>1419</v>
      </c>
      <c r="B1420" s="3" t="str">
        <f>HYPERLINK("https://www.kmpharma.in/product/23469","N-Nitroso Olanzapine EP Impurity C")</f>
        <v>N-Nitroso Olanzapine EP Impurity C</v>
      </c>
      <c r="C1420" s="3" t="str">
        <f>HYPERLINK("https://www.kmpharma.in/product/23469","KMO007015")</f>
        <v>KMO007015</v>
      </c>
      <c r="D1420" s="3" t="s">
        <v>7</v>
      </c>
      <c r="E1420" s="5" t="s">
        <v>322</v>
      </c>
    </row>
    <row r="1421" spans="1:5" x14ac:dyDescent="0.25">
      <c r="A1421" s="6">
        <v>1420</v>
      </c>
      <c r="B1421" s="6" t="str">
        <f>HYPERLINK("https://www.kmpharma.in/product/23470","N-Nitroso Olanzapine EP Impurity D")</f>
        <v>N-Nitroso Olanzapine EP Impurity D</v>
      </c>
      <c r="C1421" s="6" t="str">
        <f>HYPERLINK("https://www.kmpharma.in/product/23470","KMO007016")</f>
        <v>KMO007016</v>
      </c>
      <c r="D1421" s="6" t="s">
        <v>7</v>
      </c>
      <c r="E1421" s="7" t="s">
        <v>321</v>
      </c>
    </row>
    <row r="1422" spans="1:5" x14ac:dyDescent="0.25">
      <c r="A1422" s="3">
        <v>1421</v>
      </c>
      <c r="B1422" s="3" t="str">
        <f>HYPERLINK("https://www.kmpharma.in/product/23544","N-Nitroso Oliceridine")</f>
        <v>N-Nitroso Oliceridine</v>
      </c>
      <c r="C1422" s="3" t="str">
        <f>HYPERLINK("https://www.kmpharma.in/product/23544","KMO022001")</f>
        <v>KMO022001</v>
      </c>
      <c r="D1422" s="3" t="s">
        <v>7</v>
      </c>
      <c r="E1422" s="5" t="s">
        <v>322</v>
      </c>
    </row>
    <row r="1423" spans="1:5" x14ac:dyDescent="0.25">
      <c r="A1423" s="6">
        <v>1422</v>
      </c>
      <c r="B1423" s="6" t="str">
        <f>HYPERLINK("https://www.kmpharma.in/product/23641","N-Nitroso Olmesartan")</f>
        <v>N-Nitroso Olmesartan</v>
      </c>
      <c r="C1423" s="6" t="str">
        <f>HYPERLINK("https://www.kmpharma.in/product/23641","KMO006002")</f>
        <v>KMO006002</v>
      </c>
      <c r="D1423" s="6" t="s">
        <v>7</v>
      </c>
      <c r="E1423" s="7" t="s">
        <v>322</v>
      </c>
    </row>
    <row r="1424" spans="1:5" x14ac:dyDescent="0.25">
      <c r="A1424" s="3">
        <v>1423</v>
      </c>
      <c r="B1424" s="3" t="str">
        <f>HYPERLINK("https://www.kmpharma.in/product/23642","N-Nitroso Olmesartan Impurity")</f>
        <v>N-Nitroso Olmesartan Impurity</v>
      </c>
      <c r="C1424" s="3" t="str">
        <f>HYPERLINK("https://www.kmpharma.in/product/23642","KMO006003")</f>
        <v>KMO006003</v>
      </c>
      <c r="D1424" s="3" t="s">
        <v>7</v>
      </c>
      <c r="E1424" s="5" t="s">
        <v>322</v>
      </c>
    </row>
    <row r="1425" spans="1:5" x14ac:dyDescent="0.25">
      <c r="A1425" s="6">
        <v>1424</v>
      </c>
      <c r="B1425" s="6" t="str">
        <f>HYPERLINK("https://www.kmpharma.in/product/23643","N-Nitroso Olmesartan Medoxomil")</f>
        <v>N-Nitroso Olmesartan Medoxomil</v>
      </c>
      <c r="C1425" s="6" t="str">
        <f>HYPERLINK("https://www.kmpharma.in/product/23643","KMO006004")</f>
        <v>KMO006004</v>
      </c>
      <c r="D1425" s="6" t="s">
        <v>7</v>
      </c>
      <c r="E1425" s="7" t="s">
        <v>322</v>
      </c>
    </row>
    <row r="1426" spans="1:5" x14ac:dyDescent="0.25">
      <c r="A1426" s="3">
        <v>1425</v>
      </c>
      <c r="B1426" s="3" t="str">
        <f>HYPERLINK("https://www.kmpharma.in/product/23666","N-Nitroso Olodaterol")</f>
        <v>N-Nitroso Olodaterol</v>
      </c>
      <c r="C1426" s="3" t="str">
        <f>HYPERLINK("https://www.kmpharma.in/product/23666","KMO023002")</f>
        <v>KMO023002</v>
      </c>
      <c r="D1426" s="3" t="s">
        <v>7</v>
      </c>
      <c r="E1426" s="5" t="s">
        <v>322</v>
      </c>
    </row>
    <row r="1427" spans="1:5" x14ac:dyDescent="0.25">
      <c r="A1427" s="6">
        <v>1426</v>
      </c>
      <c r="B1427" s="6" t="str">
        <f>HYPERLINK("https://www.kmpharma.in/product/23696","N-Nitroso Olopatadine N-Desmethyl Impurity (E-Isomer)")</f>
        <v>N-Nitroso Olopatadine N-Desmethyl Impurity (E-Isomer)</v>
      </c>
      <c r="C1427" s="6" t="str">
        <f>HYPERLINK("https://www.kmpharma.in/product/23696","KMO024006")</f>
        <v>KMO024006</v>
      </c>
      <c r="D1427" s="6" t="s">
        <v>7</v>
      </c>
      <c r="E1427" s="7" t="s">
        <v>321</v>
      </c>
    </row>
    <row r="1428" spans="1:5" x14ac:dyDescent="0.25">
      <c r="A1428" s="3">
        <v>1427</v>
      </c>
      <c r="B1428" s="3" t="str">
        <f>HYPERLINK("https://www.kmpharma.in/product/23720","N-Nitroso Olutasidenib")</f>
        <v>N-Nitroso Olutasidenib</v>
      </c>
      <c r="C1428" s="3" t="str">
        <f>HYPERLINK("https://www.kmpharma.in/product/23720","KMO026002")</f>
        <v>KMO026002</v>
      </c>
      <c r="D1428" s="3" t="s">
        <v>7</v>
      </c>
      <c r="E1428" s="3" t="s">
        <v>16</v>
      </c>
    </row>
    <row r="1429" spans="1:5" x14ac:dyDescent="0.25">
      <c r="A1429" s="6">
        <v>1428</v>
      </c>
      <c r="B1429" s="6" t="str">
        <f>HYPERLINK("https://www.kmpharma.in/product/23735","N-Nitroso Omadacycline")</f>
        <v>N-Nitroso Omadacycline</v>
      </c>
      <c r="C1429" s="6" t="str">
        <f>HYPERLINK("https://www.kmpharma.in/product/23735","KMO027007")</f>
        <v>KMO027007</v>
      </c>
      <c r="D1429" s="6" t="s">
        <v>7</v>
      </c>
      <c r="E1429" s="6" t="s">
        <v>16</v>
      </c>
    </row>
    <row r="1430" spans="1:5" x14ac:dyDescent="0.25">
      <c r="A1430" s="3">
        <v>1429</v>
      </c>
      <c r="B1430" s="3" t="str">
        <f>HYPERLINK("https://www.kmpharma.in/product/23826","N-Nitroso Omeprazol")</f>
        <v>N-Nitroso Omeprazol</v>
      </c>
      <c r="C1430" s="3" t="str">
        <f>HYPERLINK("https://www.kmpharma.in/product/23826","KMO001030")</f>
        <v>KMO001030</v>
      </c>
      <c r="D1430" s="3" t="s">
        <v>7</v>
      </c>
      <c r="E1430" s="3" t="s">
        <v>16</v>
      </c>
    </row>
    <row r="1431" spans="1:5" x14ac:dyDescent="0.25">
      <c r="A1431" s="6">
        <v>1430</v>
      </c>
      <c r="B1431" s="6" t="str">
        <f>HYPERLINK("https://www.kmpharma.in/product/23827","N-Nitroso Omeprazole EP Impurity I")</f>
        <v>N-Nitroso Omeprazole EP Impurity I</v>
      </c>
      <c r="C1431" s="6" t="str">
        <f>HYPERLINK("https://www.kmpharma.in/product/23827","KMO001031")</f>
        <v>KMO001031</v>
      </c>
      <c r="D1431" s="6" t="s">
        <v>7</v>
      </c>
      <c r="E1431" s="6" t="s">
        <v>16</v>
      </c>
    </row>
    <row r="1432" spans="1:5" x14ac:dyDescent="0.25">
      <c r="A1432" s="3">
        <v>1431</v>
      </c>
      <c r="B1432" s="3" t="str">
        <f>HYPERLINK("https://www.kmpharma.in/product/23829","N-Nitroso Omidenepag Isopropyl")</f>
        <v>N-Nitroso Omidenepag Isopropyl</v>
      </c>
      <c r="C1432" s="3" t="str">
        <f>HYPERLINK("https://www.kmpharma.in/product/23829","KMO029001")</f>
        <v>KMO029001</v>
      </c>
      <c r="D1432" s="3" t="s">
        <v>7</v>
      </c>
      <c r="E1432" s="3" t="s">
        <v>16</v>
      </c>
    </row>
    <row r="1433" spans="1:5" x14ac:dyDescent="0.25">
      <c r="A1433" s="6">
        <v>1432</v>
      </c>
      <c r="B1433" s="6" t="str">
        <f>HYPERLINK("https://www.kmpharma.in/product/23857","N-Nitroso Ondansetron EP Impurity H")</f>
        <v>N-Nitroso Ondansetron EP Impurity H</v>
      </c>
      <c r="C1433" s="6" t="str">
        <f>HYPERLINK("https://www.kmpharma.in/product/23857","KMO005005")</f>
        <v>KMO005005</v>
      </c>
      <c r="D1433" s="6" t="s">
        <v>7</v>
      </c>
      <c r="E1433" s="6" t="s">
        <v>16</v>
      </c>
    </row>
    <row r="1434" spans="1:5" x14ac:dyDescent="0.25">
      <c r="A1434" s="3">
        <v>1433</v>
      </c>
      <c r="B1434" s="3" t="str">
        <f>HYPERLINK("https://www.kmpharma.in/product/241","N-Nitroso Ondansetron Related Compound A")</f>
        <v>N-Nitroso Ondansetron Related Compound A</v>
      </c>
      <c r="C1434" s="3" t="str">
        <f>HYPERLINK("https://www.kmpharma.in/product/241","KMO005001")</f>
        <v>KMO005001</v>
      </c>
      <c r="D1434" s="3" t="s">
        <v>35</v>
      </c>
      <c r="E1434" s="3" t="s">
        <v>16</v>
      </c>
    </row>
    <row r="1435" spans="1:5" x14ac:dyDescent="0.25">
      <c r="A1435" s="6">
        <v>1434</v>
      </c>
      <c r="B1435" s="6" t="str">
        <f>HYPERLINK("https://www.kmpharma.in/product/37341","N-Nitroso Osimertinib")</f>
        <v>N-Nitroso Osimertinib</v>
      </c>
      <c r="C1435" s="6" t="str">
        <f>HYPERLINK("https://www.kmpharma.in/product/37341","KMO042002")</f>
        <v>KMO042002</v>
      </c>
      <c r="D1435" s="6" t="s">
        <v>7</v>
      </c>
      <c r="E1435" s="7" t="s">
        <v>323</v>
      </c>
    </row>
    <row r="1436" spans="1:5" x14ac:dyDescent="0.25">
      <c r="A1436" s="3">
        <v>1435</v>
      </c>
      <c r="B1436" s="3" t="str">
        <f>HYPERLINK("https://www.kmpharma.in/product/37342","N-Nitroso Osimertinib Impurity A")</f>
        <v>N-Nitroso Osimertinib Impurity A</v>
      </c>
      <c r="C1436" s="3" t="str">
        <f>HYPERLINK("https://www.kmpharma.in/product/37342","KMO042003")</f>
        <v>KMO042003</v>
      </c>
      <c r="D1436" s="3" t="s">
        <v>7</v>
      </c>
      <c r="E1436" s="5" t="s">
        <v>323</v>
      </c>
    </row>
    <row r="1437" spans="1:5" x14ac:dyDescent="0.25">
      <c r="A1437" s="6">
        <v>1436</v>
      </c>
      <c r="B1437" s="6" t="str">
        <f>HYPERLINK("https://www.kmpharma.in/product/24197","N-Nitroso Oxcarbazepine EP Impurity C")</f>
        <v>N-Nitroso Oxcarbazepine EP Impurity C</v>
      </c>
      <c r="C1437" s="6" t="str">
        <f>HYPERLINK("https://www.kmpharma.in/product/24197","KMO003006")</f>
        <v>KMO003006</v>
      </c>
      <c r="D1437" s="6" t="s">
        <v>7</v>
      </c>
      <c r="E1437" s="6" t="s">
        <v>16</v>
      </c>
    </row>
    <row r="1438" spans="1:5" x14ac:dyDescent="0.25">
      <c r="A1438" s="3">
        <v>1437</v>
      </c>
      <c r="B1438" s="3" t="str">
        <f>HYPERLINK("https://www.kmpharma.in/product/24198","N-Nitroso Oxcarbazepine EP Impurity D")</f>
        <v>N-Nitroso Oxcarbazepine EP Impurity D</v>
      </c>
      <c r="C1438" s="3" t="str">
        <f>HYPERLINK("https://www.kmpharma.in/product/24198","KMO003007")</f>
        <v>KMO003007</v>
      </c>
      <c r="D1438" s="3" t="s">
        <v>7</v>
      </c>
      <c r="E1438" s="3" t="s">
        <v>16</v>
      </c>
    </row>
    <row r="1439" spans="1:5" x14ac:dyDescent="0.25">
      <c r="A1439" s="6">
        <v>1438</v>
      </c>
      <c r="B1439" s="6" t="str">
        <f>HYPERLINK("https://www.kmpharma.in/product/24202","N-Nitroso Oxcarbazepine EP Impurity H")</f>
        <v>N-Nitroso Oxcarbazepine EP Impurity H</v>
      </c>
      <c r="C1439" s="6" t="str">
        <f>HYPERLINK("https://www.kmpharma.in/product/24202","KMO003008")</f>
        <v>KMO003008</v>
      </c>
      <c r="D1439" s="6" t="s">
        <v>7</v>
      </c>
      <c r="E1439" s="7" t="s">
        <v>324</v>
      </c>
    </row>
    <row r="1440" spans="1:5" x14ac:dyDescent="0.25">
      <c r="A1440" s="3">
        <v>1439</v>
      </c>
      <c r="B1440" s="3" t="str">
        <f>HYPERLINK("https://www.kmpharma.in/product/24199","N-Nitroso Oxcarbazepine EP Impurity L")</f>
        <v>N-Nitroso Oxcarbazepine EP Impurity L</v>
      </c>
      <c r="C1440" s="3" t="str">
        <f>HYPERLINK("https://www.kmpharma.in/product/24199","KMO003009")</f>
        <v>KMO003009</v>
      </c>
      <c r="D1440" s="3" t="s">
        <v>7</v>
      </c>
      <c r="E1440" s="5" t="s">
        <v>323</v>
      </c>
    </row>
    <row r="1441" spans="1:5" x14ac:dyDescent="0.25">
      <c r="A1441" s="6">
        <v>1440</v>
      </c>
      <c r="B1441" s="6" t="str">
        <f>HYPERLINK("https://www.kmpharma.in/product/24230","N-Nitroso Oxomemazine")</f>
        <v>N-Nitroso Oxomemazine</v>
      </c>
      <c r="C1441" s="6" t="str">
        <f>HYPERLINK("https://www.kmpharma.in/product/24230","KMO059001")</f>
        <v>KMO059001</v>
      </c>
      <c r="D1441" s="6" t="s">
        <v>7</v>
      </c>
      <c r="E1441" s="6" t="s">
        <v>16</v>
      </c>
    </row>
    <row r="1442" spans="1:5" x14ac:dyDescent="0.25">
      <c r="A1442" s="3">
        <v>1441</v>
      </c>
      <c r="B1442" s="3" t="str">
        <f>HYPERLINK("https://www.kmpharma.in/product/37354","N-Nitroso Oxycodone")</f>
        <v>N-Nitroso Oxycodone</v>
      </c>
      <c r="C1442" s="3" t="str">
        <f>HYPERLINK("https://www.kmpharma.in/product/37354","KMO065004")</f>
        <v>KMO065004</v>
      </c>
      <c r="D1442" s="3" t="s">
        <v>7</v>
      </c>
      <c r="E1442" s="3" t="s">
        <v>16</v>
      </c>
    </row>
    <row r="1443" spans="1:5" x14ac:dyDescent="0.25">
      <c r="A1443" s="6">
        <v>1442</v>
      </c>
      <c r="B1443" s="6" t="str">
        <f>HYPERLINK("https://www.kmpharma.in/product/24275","N-Nitroso Oxymetazoline")</f>
        <v>N-Nitroso Oxymetazoline</v>
      </c>
      <c r="C1443" s="6" t="str">
        <f>HYPERLINK("https://www.kmpharma.in/product/24275","KMO066002")</f>
        <v>KMO066002</v>
      </c>
      <c r="D1443" s="6" t="s">
        <v>7</v>
      </c>
      <c r="E1443" s="6" t="s">
        <v>16</v>
      </c>
    </row>
    <row r="1444" spans="1:5" x14ac:dyDescent="0.25">
      <c r="A1444" s="3">
        <v>1443</v>
      </c>
      <c r="B1444" s="3" t="str">
        <f>HYPERLINK("https://www.kmpharma.in/product/24333","N-Nitroso Ozanimod Impurity")</f>
        <v>N-Nitroso Ozanimod Impurity</v>
      </c>
      <c r="C1444" s="3" t="str">
        <f>HYPERLINK("https://www.kmpharma.in/product/24333","KMO074001")</f>
        <v>KMO074001</v>
      </c>
      <c r="D1444" s="3" t="s">
        <v>7</v>
      </c>
      <c r="E1444" s="3" t="s">
        <v>16</v>
      </c>
    </row>
    <row r="1445" spans="1:5" x14ac:dyDescent="0.25">
      <c r="A1445" s="6">
        <v>1444</v>
      </c>
      <c r="B1445" s="6" t="str">
        <f>HYPERLINK("https://www.kmpharma.in/product/24518","N-Nitroso Pafolacianine")</f>
        <v>N-Nitroso Pafolacianine</v>
      </c>
      <c r="C1445" s="6" t="str">
        <f>HYPERLINK("https://www.kmpharma.in/product/24518","KMP034001")</f>
        <v>KMP034001</v>
      </c>
      <c r="D1445" s="6" t="s">
        <v>7</v>
      </c>
      <c r="E1445" s="6" t="s">
        <v>16</v>
      </c>
    </row>
    <row r="1446" spans="1:5" x14ac:dyDescent="0.25">
      <c r="A1446" s="3">
        <v>1445</v>
      </c>
      <c r="B1446" s="3" t="str">
        <f>HYPERLINK("https://www.kmpharma.in/product/24696","N-Nitroso Paliperidone USP Related Compound B")</f>
        <v>N-Nitroso Paliperidone USP Related Compound B</v>
      </c>
      <c r="C1446" s="3" t="str">
        <f>HYPERLINK("https://www.kmpharma.in/product/24696","KMP020005")</f>
        <v>KMP020005</v>
      </c>
      <c r="D1446" s="3" t="s">
        <v>174</v>
      </c>
      <c r="E1446" s="3" t="s">
        <v>16</v>
      </c>
    </row>
    <row r="1447" spans="1:5" x14ac:dyDescent="0.25">
      <c r="A1447" s="6">
        <v>1446</v>
      </c>
      <c r="B1447" s="6" t="str">
        <f>HYPERLINK("https://www.kmpharma.in/product/24739","N-Nitroso Palonosetron Acid")</f>
        <v>N-Nitroso Palonosetron Acid</v>
      </c>
      <c r="C1447" s="6" t="str">
        <f>HYPERLINK("https://www.kmpharma.in/product/24739","KMP035012")</f>
        <v>KMP035012</v>
      </c>
      <c r="D1447" s="6" t="s">
        <v>7</v>
      </c>
      <c r="E1447" s="6" t="s">
        <v>16</v>
      </c>
    </row>
    <row r="1448" spans="1:5" x14ac:dyDescent="0.25">
      <c r="A1448" s="3">
        <v>1447</v>
      </c>
      <c r="B1448" s="3" t="str">
        <f>HYPERLINK("https://www.kmpharma.in/product/24738","N-Nitroso Palonosetron Impurity")</f>
        <v>N-Nitroso Palonosetron Impurity</v>
      </c>
      <c r="C1448" s="3" t="str">
        <f>HYPERLINK("https://www.kmpharma.in/product/24738","KMP035013")</f>
        <v>KMP035013</v>
      </c>
      <c r="D1448" s="3" t="s">
        <v>7</v>
      </c>
      <c r="E1448" s="3" t="s">
        <v>16</v>
      </c>
    </row>
    <row r="1449" spans="1:5" x14ac:dyDescent="0.25">
      <c r="A1449" s="6">
        <v>1448</v>
      </c>
      <c r="B1449" s="6" t="str">
        <f>HYPERLINK("https://www.kmpharma.in/product/24844","N-Nitroso Pantoprazole EP Impurity A")</f>
        <v>N-Nitroso Pantoprazole EP Impurity A</v>
      </c>
      <c r="C1449" s="6" t="str">
        <f>HYPERLINK("https://www.kmpharma.in/product/24844","KMP012006")</f>
        <v>KMP012006</v>
      </c>
      <c r="D1449" s="6" t="s">
        <v>7</v>
      </c>
      <c r="E1449" s="7" t="s">
        <v>323</v>
      </c>
    </row>
    <row r="1450" spans="1:5" x14ac:dyDescent="0.25">
      <c r="A1450" s="3">
        <v>1449</v>
      </c>
      <c r="B1450" s="3" t="str">
        <f>HYPERLINK("https://www.kmpharma.in/product/24845","N-Nitroso Pantoprazole EP Impurity B")</f>
        <v>N-Nitroso Pantoprazole EP Impurity B</v>
      </c>
      <c r="C1450" s="3" t="str">
        <f>HYPERLINK("https://www.kmpharma.in/product/24845","KMP012007")</f>
        <v>KMP012007</v>
      </c>
      <c r="D1450" s="3" t="s">
        <v>7</v>
      </c>
      <c r="E1450" s="5" t="s">
        <v>323</v>
      </c>
    </row>
    <row r="1451" spans="1:5" x14ac:dyDescent="0.25">
      <c r="A1451" s="6">
        <v>1450</v>
      </c>
      <c r="B1451" s="6" t="str">
        <f>HYPERLINK("https://www.kmpharma.in/product/24846","N-Nitroso Pantoprazole EP Impurity C")</f>
        <v>N-Nitroso Pantoprazole EP Impurity C</v>
      </c>
      <c r="C1451" s="6" t="str">
        <f>HYPERLINK("https://www.kmpharma.in/product/24846","KMP012008")</f>
        <v>KMP012008</v>
      </c>
      <c r="D1451" s="6" t="s">
        <v>7</v>
      </c>
      <c r="E1451" s="7" t="s">
        <v>323</v>
      </c>
    </row>
    <row r="1452" spans="1:5" x14ac:dyDescent="0.25">
      <c r="A1452" s="3">
        <v>1451</v>
      </c>
      <c r="B1452" s="3" t="str">
        <f>HYPERLINK("https://www.kmpharma.in/product/24847","N-Nitroso Pantoprazole EP Impurity E")</f>
        <v>N-Nitroso Pantoprazole EP Impurity E</v>
      </c>
      <c r="C1452" s="3" t="str">
        <f>HYPERLINK("https://www.kmpharma.in/product/24847","KMP012009")</f>
        <v>KMP012009</v>
      </c>
      <c r="D1452" s="3" t="s">
        <v>7</v>
      </c>
      <c r="E1452" s="5" t="s">
        <v>323</v>
      </c>
    </row>
    <row r="1453" spans="1:5" x14ac:dyDescent="0.25">
      <c r="A1453" s="6">
        <v>1452</v>
      </c>
      <c r="B1453" s="6" t="str">
        <f>HYPERLINK("https://www.kmpharma.in/product/24866","N-Nitroso Papaverine Hydrochloride EP Impurity E")</f>
        <v>N-Nitroso Papaverine Hydrochloride EP Impurity E</v>
      </c>
      <c r="C1453" s="6" t="str">
        <f>HYPERLINK("https://www.kmpharma.in/product/24866","KMP042002")</f>
        <v>KMP042002</v>
      </c>
      <c r="D1453" s="6" t="s">
        <v>175</v>
      </c>
      <c r="E1453" s="7" t="s">
        <v>323</v>
      </c>
    </row>
    <row r="1454" spans="1:5" x14ac:dyDescent="0.25">
      <c r="A1454" s="3">
        <v>1453</v>
      </c>
      <c r="B1454" s="3" t="str">
        <f>HYPERLINK("https://www.kmpharma.in/product/24000","N-Nitroso Para Orphenadrine")</f>
        <v>N-Nitroso Para Orphenadrine</v>
      </c>
      <c r="C1454" s="3" t="str">
        <f>HYPERLINK("https://www.kmpharma.in/product/24000","KMO040004")</f>
        <v>KMO040004</v>
      </c>
      <c r="D1454" s="3" t="s">
        <v>7</v>
      </c>
      <c r="E1454" s="5" t="s">
        <v>323</v>
      </c>
    </row>
    <row r="1455" spans="1:5" x14ac:dyDescent="0.25">
      <c r="A1455" s="6">
        <v>1454</v>
      </c>
      <c r="B1455" s="6" t="str">
        <f>HYPERLINK("https://www.kmpharma.in/product/24919","N-Nitroso Paracetamol")</f>
        <v>N-Nitroso Paracetamol</v>
      </c>
      <c r="C1455" s="6" t="str">
        <f>HYPERLINK("https://www.kmpharma.in/product/24919","KMP010017")</f>
        <v>KMP010017</v>
      </c>
      <c r="D1455" s="6" t="s">
        <v>176</v>
      </c>
      <c r="E1455" s="7" t="s">
        <v>323</v>
      </c>
    </row>
    <row r="1456" spans="1:5" x14ac:dyDescent="0.25">
      <c r="A1456" s="3">
        <v>1455</v>
      </c>
      <c r="B1456" s="3" t="str">
        <f>HYPERLINK("https://www.kmpharma.in/product/24915","N-Nitroso Paracetamol D3")</f>
        <v>N-Nitroso Paracetamol D3</v>
      </c>
      <c r="C1456" s="3" t="str">
        <f>HYPERLINK("https://www.kmpharma.in/product/24915","KMP010018")</f>
        <v>KMP010018</v>
      </c>
      <c r="D1456" s="3" t="s">
        <v>7</v>
      </c>
      <c r="E1456" s="5" t="s">
        <v>323</v>
      </c>
    </row>
    <row r="1457" spans="1:5" x14ac:dyDescent="0.25">
      <c r="A1457" s="6">
        <v>1456</v>
      </c>
      <c r="B1457" s="6" t="str">
        <f>HYPERLINK("https://www.kmpharma.in/product/24918","N-Nitroso Paracetamol EP Impurity D")</f>
        <v>N-Nitroso Paracetamol EP Impurity D</v>
      </c>
      <c r="C1457" s="6" t="str">
        <f>HYPERLINK("https://www.kmpharma.in/product/24918","KMP010019")</f>
        <v>KMP010019</v>
      </c>
      <c r="D1457" s="6" t="s">
        <v>177</v>
      </c>
      <c r="E1457" s="6" t="s">
        <v>16</v>
      </c>
    </row>
    <row r="1458" spans="1:5" x14ac:dyDescent="0.25">
      <c r="A1458" s="3">
        <v>1457</v>
      </c>
      <c r="B1458" s="3" t="str">
        <f>HYPERLINK("https://www.kmpharma.in/product/24920","N-Nitroso Paracetamol EP Impurity M")</f>
        <v>N-Nitroso Paracetamol EP Impurity M</v>
      </c>
      <c r="C1458" s="3" t="str">
        <f>HYPERLINK("https://www.kmpharma.in/product/24920","KMP010020")</f>
        <v>KMP010020</v>
      </c>
      <c r="D1458" s="3" t="s">
        <v>7</v>
      </c>
      <c r="E1458" s="3" t="s">
        <v>16</v>
      </c>
    </row>
    <row r="1459" spans="1:5" x14ac:dyDescent="0.25">
      <c r="A1459" s="6">
        <v>1458</v>
      </c>
      <c r="B1459" s="6" t="str">
        <f>HYPERLINK("https://www.kmpharma.in/product/25002","N-Nitroso paroxetine Impurity")</f>
        <v>N-Nitroso paroxetine Impurity</v>
      </c>
      <c r="C1459" s="6" t="str">
        <f>HYPERLINK("https://www.kmpharma.in/product/25002","KMP009006")</f>
        <v>KMP009006</v>
      </c>
      <c r="D1459" s="6" t="s">
        <v>178</v>
      </c>
      <c r="E1459" s="6" t="s">
        <v>16</v>
      </c>
    </row>
    <row r="1460" spans="1:5" x14ac:dyDescent="0.25">
      <c r="A1460" s="3">
        <v>1459</v>
      </c>
      <c r="B1460" s="3" t="str">
        <f>HYPERLINK("https://www.kmpharma.in/product/25075","N-Nitroso Pazopanib")</f>
        <v>N-Nitroso Pazopanib</v>
      </c>
      <c r="C1460" s="3" t="str">
        <f>HYPERLINK("https://www.kmpharma.in/product/25075","KMP050001")</f>
        <v>KMP050001</v>
      </c>
      <c r="D1460" s="3" t="s">
        <v>7</v>
      </c>
      <c r="E1460" s="5" t="s">
        <v>325</v>
      </c>
    </row>
    <row r="1461" spans="1:5" x14ac:dyDescent="0.25">
      <c r="A1461" s="6">
        <v>1460</v>
      </c>
      <c r="B1461" s="6" t="str">
        <f>HYPERLINK("https://www.kmpharma.in/product/25076","N-Nitroso Pazopanib Pyrimidine Impurity")</f>
        <v>N-Nitroso Pazopanib Pyrimidine Impurity</v>
      </c>
      <c r="C1461" s="6" t="str">
        <f>HYPERLINK("https://www.kmpharma.in/product/25076","KMP050002")</f>
        <v>KMP050002</v>
      </c>
      <c r="D1461" s="6" t="s">
        <v>7</v>
      </c>
      <c r="E1461" s="6" t="s">
        <v>16</v>
      </c>
    </row>
    <row r="1462" spans="1:5" x14ac:dyDescent="0.25">
      <c r="A1462" s="3">
        <v>1461</v>
      </c>
      <c r="B1462" s="3" t="str">
        <f>HYPERLINK("https://www.kmpharma.in/product/25165","N-Nitroso Pemigatinib")</f>
        <v>N-Nitroso Pemigatinib</v>
      </c>
      <c r="C1462" s="3" t="str">
        <f>HYPERLINK("https://www.kmpharma.in/product/25165","KMP057001")</f>
        <v>KMP057001</v>
      </c>
      <c r="D1462" s="3" t="s">
        <v>7</v>
      </c>
      <c r="E1462" s="3" t="s">
        <v>16</v>
      </c>
    </row>
    <row r="1463" spans="1:5" x14ac:dyDescent="0.25">
      <c r="A1463" s="6">
        <v>1462</v>
      </c>
      <c r="B1463" s="6" t="str">
        <f>HYPERLINK("https://www.kmpharma.in/product/25204","N-Nitroso Pendimethalin")</f>
        <v>N-Nitroso Pendimethalin</v>
      </c>
      <c r="C1463" s="6" t="str">
        <f>HYPERLINK("https://www.kmpharma.in/product/25204","KMP060001")</f>
        <v>KMP060001</v>
      </c>
      <c r="D1463" s="6" t="s">
        <v>179</v>
      </c>
      <c r="E1463" s="7" t="s">
        <v>323</v>
      </c>
    </row>
    <row r="1464" spans="1:5" x14ac:dyDescent="0.25">
      <c r="A1464" s="3">
        <v>1463</v>
      </c>
      <c r="B1464" s="3" t="str">
        <f>HYPERLINK("https://www.kmpharma.in/product/25272","N-Nitroso Penicillenic Acid")</f>
        <v>N-Nitroso Penicillenic Acid</v>
      </c>
      <c r="C1464" s="3" t="str">
        <f>HYPERLINK("https://www.kmpharma.in/product/25272","KMP016038")</f>
        <v>KMP016038</v>
      </c>
      <c r="D1464" s="3" t="s">
        <v>7</v>
      </c>
      <c r="E1464" s="5" t="s">
        <v>323</v>
      </c>
    </row>
    <row r="1465" spans="1:5" x14ac:dyDescent="0.25">
      <c r="A1465" s="6">
        <v>1464</v>
      </c>
      <c r="B1465" s="6" t="str">
        <f>HYPERLINK("https://www.kmpharma.in/product/25364","N-Nitroso Perhexiline")</f>
        <v>N-Nitroso Perhexiline</v>
      </c>
      <c r="C1465" s="6" t="str">
        <f>HYPERLINK("https://www.kmpharma.in/product/25364","KMP073001")</f>
        <v>KMP073001</v>
      </c>
      <c r="D1465" s="6" t="s">
        <v>7</v>
      </c>
      <c r="E1465" s="7" t="s">
        <v>323</v>
      </c>
    </row>
    <row r="1466" spans="1:5" x14ac:dyDescent="0.25">
      <c r="A1466" s="3">
        <v>1465</v>
      </c>
      <c r="B1466" s="3" t="str">
        <f>HYPERLINK("https://www.kmpharma.in/product/25431","N-Nitroso Perindopril")</f>
        <v>N-Nitroso Perindopril</v>
      </c>
      <c r="C1466" s="3" t="str">
        <f>HYPERLINK("https://www.kmpharma.in/product/25431","KMP075001")</f>
        <v>KMP075001</v>
      </c>
      <c r="D1466" s="3" t="s">
        <v>7</v>
      </c>
      <c r="E1466" s="5" t="s">
        <v>323</v>
      </c>
    </row>
    <row r="1467" spans="1:5" x14ac:dyDescent="0.25">
      <c r="A1467" s="6">
        <v>1466</v>
      </c>
      <c r="B1467" s="6" t="str">
        <f>HYPERLINK("https://www.kmpharma.in/product/25432","N-Nitroso Perindopril EP Impurity B")</f>
        <v>N-Nitroso Perindopril EP Impurity B</v>
      </c>
      <c r="C1467" s="6" t="str">
        <f>HYPERLINK("https://www.kmpharma.in/product/25432","KMP075002")</f>
        <v>KMP075002</v>
      </c>
      <c r="D1467" s="6" t="s">
        <v>7</v>
      </c>
      <c r="E1467" s="6" t="s">
        <v>16</v>
      </c>
    </row>
    <row r="1468" spans="1:5" x14ac:dyDescent="0.25">
      <c r="A1468" s="3">
        <v>1467</v>
      </c>
      <c r="B1468" s="3" t="str">
        <f>HYPERLINK("https://www.kmpharma.in/product/25500","N-Nitroso Pethidine EP Impurity E")</f>
        <v>N-Nitroso Pethidine EP Impurity E</v>
      </c>
      <c r="C1468" s="3" t="str">
        <f>HYPERLINK("https://www.kmpharma.in/product/25500","KMP079001")</f>
        <v>KMP079001</v>
      </c>
      <c r="D1468" s="3" t="s">
        <v>180</v>
      </c>
      <c r="E1468" s="5" t="s">
        <v>321</v>
      </c>
    </row>
    <row r="1469" spans="1:5" x14ac:dyDescent="0.25">
      <c r="A1469" s="6">
        <v>1468</v>
      </c>
      <c r="B1469" s="6" t="str">
        <f>HYPERLINK("https://www.kmpharma.in/product/25513","N-Nitroso Phenelzine")</f>
        <v>N-Nitroso Phenelzine</v>
      </c>
      <c r="C1469" s="6" t="str">
        <f>HYPERLINK("https://www.kmpharma.in/product/25513","KMP087001")</f>
        <v>KMP087001</v>
      </c>
      <c r="D1469" s="6" t="s">
        <v>181</v>
      </c>
      <c r="E1469" s="6" t="s">
        <v>16</v>
      </c>
    </row>
    <row r="1470" spans="1:5" x14ac:dyDescent="0.25">
      <c r="A1470" s="3">
        <v>1469</v>
      </c>
      <c r="B1470" s="3" t="str">
        <f>HYPERLINK("https://www.kmpharma.in/product/25555","N-Nitroso Phentolamine EP Impurity B")</f>
        <v>N-Nitroso Phentolamine EP Impurity B</v>
      </c>
      <c r="C1470" s="3" t="str">
        <f>HYPERLINK("https://www.kmpharma.in/product/25555","KMP096001")</f>
        <v>KMP096001</v>
      </c>
      <c r="D1470" s="3" t="s">
        <v>7</v>
      </c>
      <c r="E1470" s="5" t="s">
        <v>321</v>
      </c>
    </row>
    <row r="1471" spans="1:5" x14ac:dyDescent="0.25">
      <c r="A1471" s="6">
        <v>1470</v>
      </c>
      <c r="B1471" s="6" t="str">
        <f>HYPERLINK("https://www.kmpharma.in/product/25556","N-Nitroso Phentolamine EP Impurity C")</f>
        <v>N-Nitroso Phentolamine EP Impurity C</v>
      </c>
      <c r="C1471" s="6" t="str">
        <f>HYPERLINK("https://www.kmpharma.in/product/25556","KMP096002")</f>
        <v>KMP096002</v>
      </c>
      <c r="D1471" s="6" t="s">
        <v>182</v>
      </c>
      <c r="E1471" s="6" t="s">
        <v>16</v>
      </c>
    </row>
    <row r="1472" spans="1:5" x14ac:dyDescent="0.25">
      <c r="A1472" s="3">
        <v>1471</v>
      </c>
      <c r="B1472" s="3" t="str">
        <f>HYPERLINK("https://www.kmpharma.in/product/25678","N-Nitroso Phenylephrine")</f>
        <v>N-Nitroso Phenylephrine</v>
      </c>
      <c r="C1472" s="3" t="str">
        <f>HYPERLINK("https://www.kmpharma.in/product/25678","KMP008009")</f>
        <v>KMP008009</v>
      </c>
      <c r="D1472" s="3" t="s">
        <v>183</v>
      </c>
      <c r="E1472" s="5" t="s">
        <v>323</v>
      </c>
    </row>
    <row r="1473" spans="1:5" x14ac:dyDescent="0.25">
      <c r="A1473" s="6">
        <v>1472</v>
      </c>
      <c r="B1473" s="6" t="str">
        <f>HYPERLINK("https://www.kmpharma.in/product/25677","N-Nitroso Phenylephrine D3")</f>
        <v>N-Nitroso Phenylephrine D3</v>
      </c>
      <c r="C1473" s="6" t="str">
        <f>HYPERLINK("https://www.kmpharma.in/product/25677","KMP008010")</f>
        <v>KMP008010</v>
      </c>
      <c r="D1473" s="6" t="s">
        <v>7</v>
      </c>
      <c r="E1473" s="6" t="s">
        <v>16</v>
      </c>
    </row>
    <row r="1474" spans="1:5" x14ac:dyDescent="0.25">
      <c r="A1474" s="3">
        <v>1473</v>
      </c>
      <c r="B1474" s="3" t="str">
        <f>HYPERLINK("https://www.kmpharma.in/product/25675","N-Nitroso Phenylephrine D5")</f>
        <v>N-Nitroso Phenylephrine D5</v>
      </c>
      <c r="C1474" s="3" t="str">
        <f>HYPERLINK("https://www.kmpharma.in/product/25675","KMP008011")</f>
        <v>KMP008011</v>
      </c>
      <c r="D1474" s="3" t="s">
        <v>7</v>
      </c>
      <c r="E1474" s="5" t="s">
        <v>321</v>
      </c>
    </row>
    <row r="1475" spans="1:5" x14ac:dyDescent="0.25">
      <c r="A1475" s="6">
        <v>1474</v>
      </c>
      <c r="B1475" s="6" t="str">
        <f>HYPERLINK("https://www.kmpharma.in/product/12650","N-Nitroso Phenylhydrazine")</f>
        <v>N-Nitroso Phenylhydrazine</v>
      </c>
      <c r="C1475" s="6" t="str">
        <f>HYPERLINK("https://www.kmpharma.in/product/12650","KME116041")</f>
        <v>KME116041</v>
      </c>
      <c r="D1475" s="6" t="s">
        <v>184</v>
      </c>
      <c r="E1475" s="7" t="s">
        <v>322</v>
      </c>
    </row>
    <row r="1476" spans="1:5" x14ac:dyDescent="0.25">
      <c r="A1476" s="3">
        <v>1475</v>
      </c>
      <c r="B1476" s="3" t="str">
        <f>HYPERLINK("https://www.kmpharma.in/product/25687","N-Nitroso Phenyltoloxamine")</f>
        <v>N-Nitroso Phenyltoloxamine</v>
      </c>
      <c r="C1476" s="3" t="str">
        <f>HYPERLINK("https://www.kmpharma.in/product/25687","KMP101001")</f>
        <v>KMP101001</v>
      </c>
      <c r="D1476" s="3" t="s">
        <v>7</v>
      </c>
      <c r="E1476" s="5" t="s">
        <v>321</v>
      </c>
    </row>
    <row r="1477" spans="1:5" x14ac:dyDescent="0.25">
      <c r="A1477" s="6">
        <v>1476</v>
      </c>
      <c r="B1477" s="6" t="str">
        <f>HYPERLINK("https://www.kmpharma.in/product/25689","N-Nitroso Phenyramidol")</f>
        <v>N-Nitroso Phenyramidol</v>
      </c>
      <c r="C1477" s="6" t="str">
        <f>HYPERLINK("https://www.kmpharma.in/product/25689","KMP102001")</f>
        <v>KMP102001</v>
      </c>
      <c r="D1477" s="6" t="s">
        <v>7</v>
      </c>
      <c r="E1477" s="7" t="s">
        <v>323</v>
      </c>
    </row>
    <row r="1478" spans="1:5" x14ac:dyDescent="0.25">
      <c r="A1478" s="3">
        <v>1477</v>
      </c>
      <c r="B1478" s="3" t="str">
        <f>HYPERLINK("https://www.kmpharma.in/product/25812","N-Nitroso Pimobendan")</f>
        <v>N-Nitroso Pimobendan</v>
      </c>
      <c r="C1478" s="3" t="str">
        <f>HYPERLINK("https://www.kmpharma.in/product/25812","KMP116001")</f>
        <v>KMP116001</v>
      </c>
      <c r="D1478" s="3" t="s">
        <v>7</v>
      </c>
      <c r="E1478" s="5" t="s">
        <v>321</v>
      </c>
    </row>
    <row r="1479" spans="1:5" x14ac:dyDescent="0.25">
      <c r="A1479" s="6">
        <v>1478</v>
      </c>
      <c r="B1479" s="6" t="str">
        <f>HYPERLINK("https://www.kmpharma.in/product/25917","N-Nitroso piperacilin Impurity-1")</f>
        <v>N-Nitroso piperacilin Impurity-1</v>
      </c>
      <c r="C1479" s="6" t="str">
        <f>HYPERLINK("https://www.kmpharma.in/product/25917","KMP125001")</f>
        <v>KMP125001</v>
      </c>
      <c r="D1479" s="6" t="s">
        <v>7</v>
      </c>
      <c r="E1479" s="7" t="s">
        <v>321</v>
      </c>
    </row>
    <row r="1480" spans="1:5" x14ac:dyDescent="0.25">
      <c r="A1480" s="3">
        <v>1479</v>
      </c>
      <c r="B1480" s="3" t="str">
        <f>HYPERLINK("https://www.kmpharma.in/product/25918","N-Nitroso piperacilin Impurity-2")</f>
        <v>N-Nitroso piperacilin Impurity-2</v>
      </c>
      <c r="C1480" s="3" t="str">
        <f>HYPERLINK("https://www.kmpharma.in/product/25918","KMP125002")</f>
        <v>KMP125002</v>
      </c>
      <c r="D1480" s="3" t="s">
        <v>7</v>
      </c>
      <c r="E1480" s="5" t="s">
        <v>323</v>
      </c>
    </row>
    <row r="1481" spans="1:5" x14ac:dyDescent="0.25">
      <c r="A1481" s="6">
        <v>1480</v>
      </c>
      <c r="B1481" s="6" t="str">
        <f>HYPERLINK("https://www.kmpharma.in/product/25931","N-Nitroso Piperaquine Impurity A")</f>
        <v>N-Nitroso Piperaquine Impurity A</v>
      </c>
      <c r="C1481" s="6" t="str">
        <f>HYPERLINK("https://www.kmpharma.in/product/25931","KMP126003")</f>
        <v>KMP126003</v>
      </c>
      <c r="D1481" s="6" t="s">
        <v>185</v>
      </c>
      <c r="E1481" s="7" t="s">
        <v>323</v>
      </c>
    </row>
    <row r="1482" spans="1:5" x14ac:dyDescent="0.25">
      <c r="A1482" s="3">
        <v>1481</v>
      </c>
      <c r="B1482" s="3" t="str">
        <f>HYPERLINK("https://www.kmpharma.in/product/190","N-Nitroso Piperidine")</f>
        <v>N-Nitroso Piperidine</v>
      </c>
      <c r="C1482" s="3" t="str">
        <f>HYPERLINK("https://www.kmpharma.in/product/190","KMN001008")</f>
        <v>KMN001008</v>
      </c>
      <c r="D1482" s="3" t="s">
        <v>186</v>
      </c>
      <c r="E1482" s="5" t="s">
        <v>322</v>
      </c>
    </row>
    <row r="1483" spans="1:5" x14ac:dyDescent="0.25">
      <c r="A1483" s="6">
        <v>1482</v>
      </c>
      <c r="B1483" s="6" t="str">
        <f>HYPERLINK("https://www.kmpharma.in/product/25957","N-Nitroso Piracetam EP Impurity A")</f>
        <v>N-Nitroso Piracetam EP Impurity A</v>
      </c>
      <c r="C1483" s="6" t="str">
        <f>HYPERLINK("https://www.kmpharma.in/product/25957","KMP131002")</f>
        <v>KMP131002</v>
      </c>
      <c r="D1483" s="6" t="s">
        <v>187</v>
      </c>
      <c r="E1483" s="7" t="s">
        <v>322</v>
      </c>
    </row>
    <row r="1484" spans="1:5" x14ac:dyDescent="0.25">
      <c r="A1484" s="3">
        <v>1483</v>
      </c>
      <c r="B1484" s="3" t="str">
        <f>HYPERLINK("https://www.kmpharma.in/product/25993","N-Nitroso Pirfenidone EP Impurity B")</f>
        <v>N-Nitroso Pirfenidone EP Impurity B</v>
      </c>
      <c r="C1484" s="3" t="str">
        <f>HYPERLINK("https://www.kmpharma.in/product/25993","KMP003010")</f>
        <v>KMP003010</v>
      </c>
      <c r="D1484" s="3" t="s">
        <v>188</v>
      </c>
      <c r="E1484" s="5" t="s">
        <v>323</v>
      </c>
    </row>
    <row r="1485" spans="1:5" x14ac:dyDescent="0.25">
      <c r="A1485" s="6">
        <v>1484</v>
      </c>
      <c r="B1485" s="6" t="str">
        <f>HYPERLINK("https://www.kmpharma.in/product/26242","N-Nitroso Polythiazide")</f>
        <v>N-Nitroso Polythiazide</v>
      </c>
      <c r="C1485" s="6" t="str">
        <f>HYPERLINK("https://www.kmpharma.in/product/26242","KMP149001")</f>
        <v>KMP149001</v>
      </c>
      <c r="D1485" s="6" t="s">
        <v>7</v>
      </c>
      <c r="E1485" s="6" t="s">
        <v>16</v>
      </c>
    </row>
    <row r="1486" spans="1:5" x14ac:dyDescent="0.25">
      <c r="A1486" s="3">
        <v>1485</v>
      </c>
      <c r="B1486" s="3" t="str">
        <f>HYPERLINK("https://www.kmpharma.in/product/26474","N-Nitroso Pralsetinib")</f>
        <v>N-Nitroso Pralsetinib</v>
      </c>
      <c r="C1486" s="3" t="str">
        <f>HYPERLINK("https://www.kmpharma.in/product/26474","KMP157001")</f>
        <v>KMP157001</v>
      </c>
      <c r="D1486" s="3" t="s">
        <v>7</v>
      </c>
      <c r="E1486" s="5" t="s">
        <v>321</v>
      </c>
    </row>
    <row r="1487" spans="1:5" x14ac:dyDescent="0.25">
      <c r="A1487" s="6">
        <v>1486</v>
      </c>
      <c r="B1487" s="6" t="str">
        <f>HYPERLINK("https://www.kmpharma.in/product/26533","N-Nitroso Pramipexole EP Impurity B")</f>
        <v>N-Nitroso Pramipexole EP Impurity B</v>
      </c>
      <c r="C1487" s="6" t="str">
        <f>HYPERLINK("https://www.kmpharma.in/product/26533","KMP026007")</f>
        <v>KMP026007</v>
      </c>
      <c r="D1487" s="6" t="s">
        <v>7</v>
      </c>
      <c r="E1487" s="6" t="s">
        <v>16</v>
      </c>
    </row>
    <row r="1488" spans="1:5" x14ac:dyDescent="0.25">
      <c r="A1488" s="3">
        <v>1487</v>
      </c>
      <c r="B1488" s="3" t="str">
        <f>HYPERLINK("https://www.kmpharma.in/product/26534","N-Nitroso Pramipexole EP Impurity C")</f>
        <v>N-Nitroso Pramipexole EP Impurity C</v>
      </c>
      <c r="C1488" s="3" t="str">
        <f>HYPERLINK("https://www.kmpharma.in/product/26534","KMP026008")</f>
        <v>KMP026008</v>
      </c>
      <c r="D1488" s="3" t="s">
        <v>7</v>
      </c>
      <c r="E1488" s="5" t="s">
        <v>321</v>
      </c>
    </row>
    <row r="1489" spans="1:5" x14ac:dyDescent="0.25">
      <c r="A1489" s="6">
        <v>1488</v>
      </c>
      <c r="B1489" s="6" t="str">
        <f>HYPERLINK("https://www.kmpharma.in/product/26529","N-Nitroso Pramipexole-D5")</f>
        <v>N-Nitroso Pramipexole-D5</v>
      </c>
      <c r="C1489" s="6" t="str">
        <f>HYPERLINK("https://www.kmpharma.in/product/26529","KMP026009")</f>
        <v>KMP026009</v>
      </c>
      <c r="D1489" s="6" t="s">
        <v>7</v>
      </c>
      <c r="E1489" s="7" t="s">
        <v>321</v>
      </c>
    </row>
    <row r="1490" spans="1:5" x14ac:dyDescent="0.25">
      <c r="A1490" s="3">
        <v>1489</v>
      </c>
      <c r="B1490" s="3" t="str">
        <f>HYPERLINK("https://www.kmpharma.in/product/26678","N-Nitroso Prazosin EP Impurity C")</f>
        <v>N-Nitroso Prazosin EP Impurity C</v>
      </c>
      <c r="C1490" s="3" t="str">
        <f>HYPERLINK("https://www.kmpharma.in/product/26678","KMP023002")</f>
        <v>KMP023002</v>
      </c>
      <c r="D1490" s="3" t="s">
        <v>7</v>
      </c>
      <c r="E1490" s="5" t="s">
        <v>321</v>
      </c>
    </row>
    <row r="1491" spans="1:5" x14ac:dyDescent="0.25">
      <c r="A1491" s="6">
        <v>1490</v>
      </c>
      <c r="B1491" s="6" t="str">
        <f>HYPERLINK("https://www.kmpharma.in/product/26679","N-Nitroso Prazosin EP Impurity D")</f>
        <v>N-Nitroso Prazosin EP Impurity D</v>
      </c>
      <c r="C1491" s="6" t="str">
        <f>HYPERLINK("https://www.kmpharma.in/product/26679","KMP023003")</f>
        <v>KMP023003</v>
      </c>
      <c r="D1491" s="6" t="s">
        <v>7</v>
      </c>
      <c r="E1491" s="7" t="s">
        <v>321</v>
      </c>
    </row>
    <row r="1492" spans="1:5" x14ac:dyDescent="0.25">
      <c r="A1492" s="3">
        <v>1491</v>
      </c>
      <c r="B1492" s="3" t="str">
        <f>HYPERLINK("https://www.kmpharma.in/product/26899","N-Nitroso Pregabalin")</f>
        <v>N-Nitroso Pregabalin</v>
      </c>
      <c r="C1492" s="3" t="str">
        <f>HYPERLINK("https://www.kmpharma.in/product/26899","KMP004021")</f>
        <v>KMP004021</v>
      </c>
      <c r="D1492" s="3" t="s">
        <v>7</v>
      </c>
      <c r="E1492" s="5" t="s">
        <v>321</v>
      </c>
    </row>
    <row r="1493" spans="1:5" x14ac:dyDescent="0.25">
      <c r="A1493" s="6">
        <v>1492</v>
      </c>
      <c r="B1493" s="6" t="str">
        <f>HYPERLINK("https://www.kmpharma.in/product/26952","N-Nitroso Prilocaine EP Impurity C")</f>
        <v>N-Nitroso Prilocaine EP Impurity C</v>
      </c>
      <c r="C1493" s="6" t="str">
        <f>HYPERLINK("https://www.kmpharma.in/product/26952","KMP171001")</f>
        <v>KMP171001</v>
      </c>
      <c r="D1493" s="6" t="s">
        <v>7</v>
      </c>
      <c r="E1493" s="7" t="s">
        <v>321</v>
      </c>
    </row>
    <row r="1494" spans="1:5" x14ac:dyDescent="0.25">
      <c r="A1494" s="3">
        <v>1493</v>
      </c>
      <c r="B1494" s="3" t="str">
        <f>HYPERLINK("https://www.kmpharma.in/product/26953","N-Nitroso Prilocaine EP Impurity D")</f>
        <v>N-Nitroso Prilocaine EP Impurity D</v>
      </c>
      <c r="C1494" s="3" t="str">
        <f>HYPERLINK("https://www.kmpharma.in/product/26953","KMP171002")</f>
        <v>KMP171002</v>
      </c>
      <c r="D1494" s="3" t="s">
        <v>7</v>
      </c>
      <c r="E1494" s="5" t="s">
        <v>321</v>
      </c>
    </row>
    <row r="1495" spans="1:5" x14ac:dyDescent="0.25">
      <c r="A1495" s="6">
        <v>1494</v>
      </c>
      <c r="B1495" s="6" t="str">
        <f>HYPERLINK("https://www.kmpharma.in/product/26951","N-Nitroso Prilocaine EP Impurity E")</f>
        <v>N-Nitroso Prilocaine EP Impurity E</v>
      </c>
      <c r="C1495" s="6" t="str">
        <f>HYPERLINK("https://www.kmpharma.in/product/26951","KMP171003")</f>
        <v>KMP171003</v>
      </c>
      <c r="D1495" s="6" t="s">
        <v>7</v>
      </c>
      <c r="E1495" s="7" t="s">
        <v>321</v>
      </c>
    </row>
    <row r="1496" spans="1:5" x14ac:dyDescent="0.25">
      <c r="A1496" s="3">
        <v>1495</v>
      </c>
      <c r="B1496" s="3" t="str">
        <f>HYPERLINK("https://www.kmpharma.in/product/26954","N-Nitroso Prilocaine EP Impurity F")</f>
        <v>N-Nitroso Prilocaine EP Impurity F</v>
      </c>
      <c r="C1496" s="3" t="str">
        <f>HYPERLINK("https://www.kmpharma.in/product/26954","KMP171004")</f>
        <v>KMP171004</v>
      </c>
      <c r="D1496" s="3" t="s">
        <v>7</v>
      </c>
      <c r="E1496" s="5" t="s">
        <v>321</v>
      </c>
    </row>
    <row r="1497" spans="1:5" x14ac:dyDescent="0.25">
      <c r="A1497" s="6">
        <v>1496</v>
      </c>
      <c r="B1497" s="6" t="str">
        <f>HYPERLINK("https://www.kmpharma.in/product/26955","N-Nitroso Prilocaine EP Impurity G")</f>
        <v>N-Nitroso Prilocaine EP Impurity G</v>
      </c>
      <c r="C1497" s="6" t="str">
        <f>HYPERLINK("https://www.kmpharma.in/product/26955","KMP171005")</f>
        <v>KMP171005</v>
      </c>
      <c r="D1497" s="6" t="s">
        <v>7</v>
      </c>
      <c r="E1497" s="7" t="s">
        <v>321</v>
      </c>
    </row>
    <row r="1498" spans="1:5" x14ac:dyDescent="0.25">
      <c r="A1498" s="3">
        <v>1497</v>
      </c>
      <c r="B1498" s="3" t="str">
        <f>HYPERLINK("https://www.kmpharma.in/product/26969","N-Nitroso Primaquine")</f>
        <v>N-Nitroso Primaquine</v>
      </c>
      <c r="C1498" s="3" t="str">
        <f>HYPERLINK("https://www.kmpharma.in/product/26969","KMP173002")</f>
        <v>KMP173002</v>
      </c>
      <c r="D1498" s="3" t="s">
        <v>7</v>
      </c>
      <c r="E1498" s="5" t="s">
        <v>323</v>
      </c>
    </row>
    <row r="1499" spans="1:5" x14ac:dyDescent="0.25">
      <c r="A1499" s="6">
        <v>1498</v>
      </c>
      <c r="B1499" s="6" t="str">
        <f>HYPERLINK("https://www.kmpharma.in/product/27146","N-Nitroso Promazine EP Impurity B")</f>
        <v>N-Nitroso Promazine EP Impurity B</v>
      </c>
      <c r="C1499" s="6" t="str">
        <f>HYPERLINK("https://www.kmpharma.in/product/27146","KMP011004")</f>
        <v>KMP011004</v>
      </c>
      <c r="D1499" s="6" t="s">
        <v>7</v>
      </c>
      <c r="E1499" s="6" t="s">
        <v>16</v>
      </c>
    </row>
    <row r="1500" spans="1:5" x14ac:dyDescent="0.25">
      <c r="A1500" s="3">
        <v>1499</v>
      </c>
      <c r="B1500" s="3" t="str">
        <f>HYPERLINK("https://www.kmpharma.in/product/27172","N-Nitroso Promethazine EP Impurity A")</f>
        <v>N-Nitroso Promethazine EP Impurity A</v>
      </c>
      <c r="C1500" s="3" t="str">
        <f>HYPERLINK("https://www.kmpharma.in/product/27172","KMP005008")</f>
        <v>KMP005008</v>
      </c>
      <c r="D1500" s="3" t="s">
        <v>189</v>
      </c>
      <c r="E1500" s="5" t="s">
        <v>323</v>
      </c>
    </row>
    <row r="1501" spans="1:5" x14ac:dyDescent="0.25">
      <c r="A1501" s="6">
        <v>1500</v>
      </c>
      <c r="B1501" s="6" t="str">
        <f>HYPERLINK("https://www.kmpharma.in/product/27171","N-Nitroso Promethazine EP Impurity C")</f>
        <v>N-Nitroso Promethazine EP Impurity C</v>
      </c>
      <c r="C1501" s="6" t="str">
        <f>HYPERLINK("https://www.kmpharma.in/product/27171","KMP005009")</f>
        <v>KMP005009</v>
      </c>
      <c r="D1501" s="6" t="s">
        <v>122</v>
      </c>
      <c r="E1501" s="7" t="s">
        <v>321</v>
      </c>
    </row>
    <row r="1502" spans="1:5" x14ac:dyDescent="0.25">
      <c r="A1502" s="3">
        <v>1501</v>
      </c>
      <c r="B1502" s="3" t="str">
        <f>HYPERLINK("https://www.kmpharma.in/product/27193","N-Nitroso Propafenone EP Impurity B")</f>
        <v>N-Nitroso Propafenone EP Impurity B</v>
      </c>
      <c r="C1502" s="3" t="str">
        <f>HYPERLINK("https://www.kmpharma.in/product/27193","KMP015006")</f>
        <v>KMP015006</v>
      </c>
      <c r="D1502" s="3" t="s">
        <v>7</v>
      </c>
      <c r="E1502" s="3" t="s">
        <v>16</v>
      </c>
    </row>
    <row r="1503" spans="1:5" x14ac:dyDescent="0.25">
      <c r="A1503" s="6">
        <v>1502</v>
      </c>
      <c r="B1503" s="6" t="str">
        <f>HYPERLINK("https://www.kmpharma.in/product/457","N-Nitroso Propranolol")</f>
        <v>N-Nitroso Propranolol</v>
      </c>
      <c r="C1503" s="6" t="str">
        <f>HYPERLINK("https://www.kmpharma.in/product/457","KMP002002")</f>
        <v>KMP002002</v>
      </c>
      <c r="D1503" s="6" t="s">
        <v>190</v>
      </c>
      <c r="E1503" s="6" t="s">
        <v>16</v>
      </c>
    </row>
    <row r="1504" spans="1:5" x14ac:dyDescent="0.25">
      <c r="A1504" s="3">
        <v>1503</v>
      </c>
      <c r="B1504" s="3" t="str">
        <f>HYPERLINK("https://www.kmpharma.in/product/37514","N-Nitroso Propranolol")</f>
        <v>N-Nitroso Propranolol</v>
      </c>
      <c r="C1504" s="3" t="str">
        <f>HYPERLINK("https://www.kmpharma.in/product/37514","KMP002013")</f>
        <v>KMP002013</v>
      </c>
      <c r="D1504" s="3" t="s">
        <v>190</v>
      </c>
      <c r="E1504" s="3" t="s">
        <v>16</v>
      </c>
    </row>
    <row r="1505" spans="1:5" x14ac:dyDescent="0.25">
      <c r="A1505" s="6">
        <v>1504</v>
      </c>
      <c r="B1505" s="6" t="str">
        <f>HYPERLINK("https://www.kmpharma.in/product/27291","N-Nitroso Propranolol Impurity 1")</f>
        <v>N-Nitroso Propranolol Impurity 1</v>
      </c>
      <c r="C1505" s="6" t="str">
        <f>HYPERLINK("https://www.kmpharma.in/product/27291","KMP002014")</f>
        <v>KMP002014</v>
      </c>
      <c r="D1505" s="6" t="s">
        <v>7</v>
      </c>
      <c r="E1505" s="7" t="s">
        <v>323</v>
      </c>
    </row>
    <row r="1506" spans="1:5" x14ac:dyDescent="0.25">
      <c r="A1506" s="3">
        <v>1505</v>
      </c>
      <c r="B1506" s="3" t="str">
        <f>HYPERLINK("https://www.kmpharma.in/product/27297","N-Nitroso Propylhexedrine")</f>
        <v>N-Nitroso Propylhexedrine</v>
      </c>
      <c r="C1506" s="3" t="str">
        <f>HYPERLINK("https://www.kmpharma.in/product/27297","KMP196001")</f>
        <v>KMP196001</v>
      </c>
      <c r="D1506" s="3" t="s">
        <v>7</v>
      </c>
      <c r="E1506" s="3" t="s">
        <v>16</v>
      </c>
    </row>
    <row r="1507" spans="1:5" x14ac:dyDescent="0.25">
      <c r="A1507" s="6">
        <v>1506</v>
      </c>
      <c r="B1507" s="6" t="str">
        <f>HYPERLINK("https://www.kmpharma.in/product/11837","N-Nitroso Pseudoephedrine")</f>
        <v>N-Nitroso Pseudoephedrine</v>
      </c>
      <c r="C1507" s="6" t="str">
        <f>HYPERLINK("https://www.kmpharma.in/product/11837","KME062016")</f>
        <v>KME062016</v>
      </c>
      <c r="D1507" s="6" t="s">
        <v>191</v>
      </c>
      <c r="E1507" s="6" t="s">
        <v>16</v>
      </c>
    </row>
    <row r="1508" spans="1:5" x14ac:dyDescent="0.25">
      <c r="A1508" s="3">
        <v>1507</v>
      </c>
      <c r="B1508" s="3" t="str">
        <f>HYPERLINK("https://www.kmpharma.in/product/27326","N-Nitroso Pyrantel EP Impurity B")</f>
        <v>N-Nitroso Pyrantel EP Impurity B</v>
      </c>
      <c r="C1508" s="3" t="str">
        <f>HYPERLINK("https://www.kmpharma.in/product/27326","KMP206001")</f>
        <v>KMP206001</v>
      </c>
      <c r="D1508" s="3" t="s">
        <v>7</v>
      </c>
      <c r="E1508" s="3" t="s">
        <v>16</v>
      </c>
    </row>
    <row r="1509" spans="1:5" x14ac:dyDescent="0.25">
      <c r="A1509" s="6">
        <v>1508</v>
      </c>
      <c r="B1509" s="6" t="str">
        <f>HYPERLINK("https://www.kmpharma.in/product/30502","N-Nitroso Pyrazole N-Demethyl Sildenafil")</f>
        <v>N-Nitroso Pyrazole N-Demethyl Sildenafil</v>
      </c>
      <c r="C1509" s="6" t="str">
        <f>HYPERLINK("https://www.kmpharma.in/product/30502","KMS002024")</f>
        <v>KMS002024</v>
      </c>
      <c r="D1509" s="6" t="s">
        <v>7</v>
      </c>
      <c r="E1509" s="7" t="s">
        <v>321</v>
      </c>
    </row>
    <row r="1510" spans="1:5" x14ac:dyDescent="0.25">
      <c r="A1510" s="3">
        <v>1509</v>
      </c>
      <c r="B1510" s="3" t="str">
        <f>HYPERLINK("https://www.kmpharma.in/product/19741","N-Nitroso Pyrimidine Amine Impurity")</f>
        <v>N-Nitroso Pyrimidine Amine Impurity</v>
      </c>
      <c r="C1510" s="3" t="str">
        <f>HYPERLINK("https://www.kmpharma.in/product/19741","KMM015044")</f>
        <v>KMM015044</v>
      </c>
      <c r="D1510" s="3" t="s">
        <v>7</v>
      </c>
      <c r="E1510" s="3" t="s">
        <v>16</v>
      </c>
    </row>
    <row r="1511" spans="1:5" x14ac:dyDescent="0.25">
      <c r="A1511" s="6">
        <v>1510</v>
      </c>
      <c r="B1511" s="6" t="str">
        <f>HYPERLINK("https://www.kmpharma.in/product/27411","N-Nitroso Pyronaridine")</f>
        <v>N-Nitroso Pyronaridine</v>
      </c>
      <c r="C1511" s="6" t="str">
        <f>HYPERLINK("https://www.kmpharma.in/product/27411","KMP213001")</f>
        <v>KMP213001</v>
      </c>
      <c r="D1511" s="6" t="s">
        <v>7</v>
      </c>
      <c r="E1511" s="7" t="s">
        <v>321</v>
      </c>
    </row>
    <row r="1512" spans="1:5" x14ac:dyDescent="0.25">
      <c r="A1512" s="3">
        <v>1511</v>
      </c>
      <c r="B1512" s="3" t="str">
        <f>HYPERLINK("https://www.kmpharma.in/product/23070","N-Nitroso Pyrrole")</f>
        <v>N-Nitroso Pyrrole</v>
      </c>
      <c r="C1512" s="3" t="str">
        <f>HYPERLINK("https://www.kmpharma.in/product/23070","KMN084068")</f>
        <v>KMN084068</v>
      </c>
      <c r="D1512" s="3" t="s">
        <v>192</v>
      </c>
      <c r="E1512" s="5" t="s">
        <v>321</v>
      </c>
    </row>
    <row r="1513" spans="1:5" x14ac:dyDescent="0.25">
      <c r="A1513" s="6">
        <v>1512</v>
      </c>
      <c r="B1513" s="6" t="str">
        <f>HYPERLINK("https://www.kmpharma.in/product/171","N-Nitroso Pyrrolidine")</f>
        <v>N-Nitroso Pyrrolidine</v>
      </c>
      <c r="C1513" s="6" t="str">
        <f>HYPERLINK("https://www.kmpharma.in/product/171","KMN001001")</f>
        <v>KMN001001</v>
      </c>
      <c r="D1513" s="6" t="s">
        <v>193</v>
      </c>
      <c r="E1513" s="7" t="s">
        <v>321</v>
      </c>
    </row>
    <row r="1514" spans="1:5" x14ac:dyDescent="0.25">
      <c r="A1514" s="3">
        <v>1513</v>
      </c>
      <c r="B1514" s="3" t="str">
        <f>HYPERLINK("https://www.kmpharma.in/product/27503","N-Nitroso Quetiapine EP Impurity B D8")</f>
        <v>N-Nitroso Quetiapine EP Impurity B D8</v>
      </c>
      <c r="C1514" s="3" t="str">
        <f>HYPERLINK("https://www.kmpharma.in/product/27503","KMQ001012")</f>
        <v>KMQ001012</v>
      </c>
      <c r="D1514" s="3" t="s">
        <v>7</v>
      </c>
      <c r="E1514" s="5" t="s">
        <v>321</v>
      </c>
    </row>
    <row r="1515" spans="1:5" x14ac:dyDescent="0.25">
      <c r="A1515" s="6">
        <v>1514</v>
      </c>
      <c r="B1515" s="6" t="str">
        <f>HYPERLINK("https://www.kmpharma.in/product/27507","N-Nitroso Quetiapine EP Impurity G")</f>
        <v>N-Nitroso Quetiapine EP Impurity G</v>
      </c>
      <c r="C1515" s="6" t="str">
        <f>HYPERLINK("https://www.kmpharma.in/product/27507","KMQ001013")</f>
        <v>KMQ001013</v>
      </c>
      <c r="D1515" s="6" t="s">
        <v>7</v>
      </c>
      <c r="E1515" s="7" t="s">
        <v>323</v>
      </c>
    </row>
    <row r="1516" spans="1:5" x14ac:dyDescent="0.25">
      <c r="A1516" s="3">
        <v>1515</v>
      </c>
      <c r="B1516" s="3" t="str">
        <f>HYPERLINK("https://www.kmpharma.in/product/27504","N-Nitroso Quetiapine Impurity")</f>
        <v>N-Nitroso Quetiapine Impurity</v>
      </c>
      <c r="C1516" s="3" t="str">
        <f>HYPERLINK("https://www.kmpharma.in/product/27504","KMQ001014")</f>
        <v>KMQ001014</v>
      </c>
      <c r="D1516" s="3" t="s">
        <v>194</v>
      </c>
      <c r="E1516" s="5" t="s">
        <v>323</v>
      </c>
    </row>
    <row r="1517" spans="1:5" x14ac:dyDescent="0.25">
      <c r="A1517" s="6">
        <v>1516</v>
      </c>
      <c r="B1517" s="6" t="str">
        <f>HYPERLINK("https://www.kmpharma.in/product/27527","N-Nitroso Quinapril")</f>
        <v>N-Nitroso Quinapril</v>
      </c>
      <c r="C1517" s="6" t="str">
        <f>HYPERLINK("https://www.kmpharma.in/product/27527","KMQ007001")</f>
        <v>KMQ007001</v>
      </c>
      <c r="D1517" s="6" t="s">
        <v>7</v>
      </c>
      <c r="E1517" s="6" t="s">
        <v>16</v>
      </c>
    </row>
    <row r="1518" spans="1:5" x14ac:dyDescent="0.25">
      <c r="A1518" s="3">
        <v>1517</v>
      </c>
      <c r="B1518" s="3" t="str">
        <f>HYPERLINK("https://www.kmpharma.in/product/27558","N-Nitroso Quinupristin")</f>
        <v>N-Nitroso Quinupristin</v>
      </c>
      <c r="C1518" s="3" t="str">
        <f>HYPERLINK("https://www.kmpharma.in/product/27558","KMQ011001")</f>
        <v>KMQ011001</v>
      </c>
      <c r="D1518" s="3" t="s">
        <v>7</v>
      </c>
      <c r="E1518" s="3" t="s">
        <v>16</v>
      </c>
    </row>
    <row r="1519" spans="1:5" x14ac:dyDescent="0.25">
      <c r="A1519" s="6">
        <v>1518</v>
      </c>
      <c r="B1519" s="6" t="str">
        <f>HYPERLINK("https://www.kmpharma.in/product/27604","N-Nitroso Rabeprazole EP Impurity B")</f>
        <v>N-Nitroso Rabeprazole EP Impurity B</v>
      </c>
      <c r="C1519" s="6" t="str">
        <f>HYPERLINK("https://www.kmpharma.in/product/27604","KMR014017")</f>
        <v>KMR014017</v>
      </c>
      <c r="D1519" s="6" t="s">
        <v>7</v>
      </c>
      <c r="E1519" s="7" t="s">
        <v>322</v>
      </c>
    </row>
    <row r="1520" spans="1:5" x14ac:dyDescent="0.25">
      <c r="A1520" s="3">
        <v>1519</v>
      </c>
      <c r="B1520" s="3" t="str">
        <f>HYPERLINK("https://www.kmpharma.in/product/27605","N-Nitroso Rabeprazole EP Impurity F")</f>
        <v>N-Nitroso Rabeprazole EP Impurity F</v>
      </c>
      <c r="C1520" s="3" t="str">
        <f>HYPERLINK("https://www.kmpharma.in/product/27605","KMR014018")</f>
        <v>KMR014018</v>
      </c>
      <c r="D1520" s="3" t="s">
        <v>7</v>
      </c>
      <c r="E1520" s="5" t="s">
        <v>321</v>
      </c>
    </row>
    <row r="1521" spans="1:5" x14ac:dyDescent="0.25">
      <c r="A1521" s="6">
        <v>1520</v>
      </c>
      <c r="B1521" s="6" t="str">
        <f>HYPERLINK("https://www.kmpharma.in/product/11839","N-Nitroso Rac-Ephedrine")</f>
        <v>N-Nitroso Rac-Ephedrine</v>
      </c>
      <c r="C1521" s="6" t="str">
        <f>HYPERLINK("https://www.kmpharma.in/product/11839","KME062017")</f>
        <v>KME062017</v>
      </c>
      <c r="D1521" s="6" t="s">
        <v>195</v>
      </c>
      <c r="E1521" s="7" t="s">
        <v>322</v>
      </c>
    </row>
    <row r="1522" spans="1:5" x14ac:dyDescent="0.25">
      <c r="A1522" s="3">
        <v>1521</v>
      </c>
      <c r="B1522" s="3" t="str">
        <f>HYPERLINK("https://www.kmpharma.in/product/31918","N-Nitroso Racemic Tamsulosin-D3")</f>
        <v>N-Nitroso Racemic Tamsulosin-D3</v>
      </c>
      <c r="C1522" s="3" t="str">
        <f>HYPERLINK("https://www.kmpharma.in/product/31918","KMT024005")</f>
        <v>KMT024005</v>
      </c>
      <c r="D1522" s="3" t="s">
        <v>7</v>
      </c>
      <c r="E1522" s="3" t="s">
        <v>16</v>
      </c>
    </row>
    <row r="1523" spans="1:5" x14ac:dyDescent="0.25">
      <c r="A1523" s="6">
        <v>1522</v>
      </c>
      <c r="B1523" s="6" t="str">
        <f>HYPERLINK("https://www.kmpharma.in/product/27806","N-Nitroso Ramipril")</f>
        <v>N-Nitroso Ramipril</v>
      </c>
      <c r="C1523" s="6" t="str">
        <f>HYPERLINK("https://www.kmpharma.in/product/27806","KMR001003")</f>
        <v>KMR001003</v>
      </c>
      <c r="D1523" s="6" t="s">
        <v>7</v>
      </c>
      <c r="E1523" s="7" t="s">
        <v>321</v>
      </c>
    </row>
    <row r="1524" spans="1:5" x14ac:dyDescent="0.25">
      <c r="A1524" s="3">
        <v>1523</v>
      </c>
      <c r="B1524" s="3" t="str">
        <f>HYPERLINK("https://www.kmpharma.in/product/27802","N-Nitroso Ramipril D5")</f>
        <v>N-Nitroso Ramipril D5</v>
      </c>
      <c r="C1524" s="3" t="str">
        <f>HYPERLINK("https://www.kmpharma.in/product/27802","KMR001004")</f>
        <v>KMR001004</v>
      </c>
      <c r="D1524" s="3" t="s">
        <v>7</v>
      </c>
      <c r="E1524" s="5" t="s">
        <v>321</v>
      </c>
    </row>
    <row r="1525" spans="1:5" x14ac:dyDescent="0.25">
      <c r="A1525" s="6">
        <v>1524</v>
      </c>
      <c r="B1525" s="6" t="str">
        <f>HYPERLINK("https://www.kmpharma.in/product/27807","N-Nitroso Ramipril EP Impurity F")</f>
        <v>N-Nitroso Ramipril EP Impurity F</v>
      </c>
      <c r="C1525" s="6" t="str">
        <f>HYPERLINK("https://www.kmpharma.in/product/27807","KMR001005")</f>
        <v>KMR001005</v>
      </c>
      <c r="D1525" s="6" t="s">
        <v>7</v>
      </c>
      <c r="E1525" s="7" t="s">
        <v>323</v>
      </c>
    </row>
    <row r="1526" spans="1:5" x14ac:dyDescent="0.25">
      <c r="A1526" s="3">
        <v>1525</v>
      </c>
      <c r="B1526" s="3" t="str">
        <f>HYPERLINK("https://www.kmpharma.in/product/213","N-Nitroso Ramipril Impurity")</f>
        <v>N-Nitroso Ramipril Impurity</v>
      </c>
      <c r="C1526" s="3" t="str">
        <f>HYPERLINK("https://www.kmpharma.in/product/213","KMR001002")</f>
        <v>KMR001002</v>
      </c>
      <c r="D1526" s="3" t="s">
        <v>35</v>
      </c>
      <c r="E1526" s="3" t="s">
        <v>16</v>
      </c>
    </row>
    <row r="1527" spans="1:5" x14ac:dyDescent="0.25">
      <c r="A1527" s="6">
        <v>1526</v>
      </c>
      <c r="B1527" s="6" t="str">
        <f>HYPERLINK("https://www.kmpharma.in/product/212","N-Nitroso Ramiprilate")</f>
        <v>N-Nitroso Ramiprilate</v>
      </c>
      <c r="C1527" s="6" t="str">
        <f>HYPERLINK("https://www.kmpharma.in/product/212","KMR001001")</f>
        <v>KMR001001</v>
      </c>
      <c r="D1527" s="6" t="s">
        <v>35</v>
      </c>
      <c r="E1527" s="6" t="s">
        <v>16</v>
      </c>
    </row>
    <row r="1528" spans="1:5" x14ac:dyDescent="0.25">
      <c r="A1528" s="3">
        <v>1527</v>
      </c>
      <c r="B1528" s="3" t="str">
        <f>HYPERLINK("https://www.kmpharma.in/product/27888","N-Nitroso Ranolazine")</f>
        <v>N-Nitroso Ranolazine</v>
      </c>
      <c r="C1528" s="3" t="str">
        <f>HYPERLINK("https://www.kmpharma.in/product/27888","KMR009010")</f>
        <v>KMR009010</v>
      </c>
      <c r="D1528" s="3" t="s">
        <v>7</v>
      </c>
      <c r="E1528" s="5" t="s">
        <v>323</v>
      </c>
    </row>
    <row r="1529" spans="1:5" x14ac:dyDescent="0.25">
      <c r="A1529" s="6">
        <v>1528</v>
      </c>
      <c r="B1529" s="6" t="str">
        <f>HYPERLINK("https://www.kmpharma.in/product/27889","N-Nitroso Ranolazine Impurity 2")</f>
        <v>N-Nitroso Ranolazine Impurity 2</v>
      </c>
      <c r="C1529" s="6" t="str">
        <f>HYPERLINK("https://www.kmpharma.in/product/27889","KMR009011")</f>
        <v>KMR009011</v>
      </c>
      <c r="D1529" s="6" t="s">
        <v>7</v>
      </c>
      <c r="E1529" s="7" t="s">
        <v>321</v>
      </c>
    </row>
    <row r="1530" spans="1:5" x14ac:dyDescent="0.25">
      <c r="A1530" s="3">
        <v>1529</v>
      </c>
      <c r="B1530" s="3" t="str">
        <f>HYPERLINK("https://www.kmpharma.in/product/27890","N-Nitroso Ranolazine Impurity 3")</f>
        <v>N-Nitroso Ranolazine Impurity 3</v>
      </c>
      <c r="C1530" s="3" t="str">
        <f>HYPERLINK("https://www.kmpharma.in/product/27890","KMR009012")</f>
        <v>KMR009012</v>
      </c>
      <c r="D1530" s="3" t="s">
        <v>7</v>
      </c>
      <c r="E1530" s="5" t="s">
        <v>321</v>
      </c>
    </row>
    <row r="1531" spans="1:5" x14ac:dyDescent="0.25">
      <c r="A1531" s="6">
        <v>1530</v>
      </c>
      <c r="B1531" s="6" t="str">
        <f>HYPERLINK("https://www.kmpharma.in/product/27886","N-Nitroso Ranolazine USP Related Compound C")</f>
        <v>N-Nitroso Ranolazine USP Related Compound C</v>
      </c>
      <c r="C1531" s="6" t="str">
        <f>HYPERLINK("https://www.kmpharma.in/product/27886","KMR009013")</f>
        <v>KMR009013</v>
      </c>
      <c r="D1531" s="6" t="s">
        <v>7</v>
      </c>
      <c r="E1531" s="7" t="s">
        <v>323</v>
      </c>
    </row>
    <row r="1532" spans="1:5" x14ac:dyDescent="0.25">
      <c r="A1532" s="3">
        <v>1531</v>
      </c>
      <c r="B1532" s="3" t="str">
        <f>HYPERLINK("https://www.kmpharma.in/product/27981","N-Nitroso Rasagiline D3 (Possibility 1)")</f>
        <v>N-Nitroso Rasagiline D3 (Possibility 1)</v>
      </c>
      <c r="C1532" s="3" t="str">
        <f>HYPERLINK("https://www.kmpharma.in/product/27981","KMR024015")</f>
        <v>KMR024015</v>
      </c>
      <c r="D1532" s="3" t="s">
        <v>7</v>
      </c>
      <c r="E1532" s="5" t="s">
        <v>321</v>
      </c>
    </row>
    <row r="1533" spans="1:5" x14ac:dyDescent="0.25">
      <c r="A1533" s="6">
        <v>1532</v>
      </c>
      <c r="B1533" s="6" t="str">
        <f>HYPERLINK("https://www.kmpharma.in/product/27980","N-Nitroso Rasagiline D3 (Possibility 2)")</f>
        <v>N-Nitroso Rasagiline D3 (Possibility 2)</v>
      </c>
      <c r="C1533" s="6" t="str">
        <f>HYPERLINK("https://www.kmpharma.in/product/27980","KMR024016")</f>
        <v>KMR024016</v>
      </c>
      <c r="D1533" s="6" t="s">
        <v>7</v>
      </c>
      <c r="E1533" s="6" t="s">
        <v>16</v>
      </c>
    </row>
    <row r="1534" spans="1:5" x14ac:dyDescent="0.25">
      <c r="A1534" s="3">
        <v>1533</v>
      </c>
      <c r="B1534" s="3" t="str">
        <f>HYPERLINK("https://www.kmpharma.in/product/28006","N-Nitroso Reboxetine")</f>
        <v>N-Nitroso Reboxetine</v>
      </c>
      <c r="C1534" s="3" t="str">
        <f>HYPERLINK("https://www.kmpharma.in/product/28006","KMR027001")</f>
        <v>KMR027001</v>
      </c>
      <c r="D1534" s="3" t="s">
        <v>7</v>
      </c>
      <c r="E1534" s="5" t="s">
        <v>322</v>
      </c>
    </row>
    <row r="1535" spans="1:5" x14ac:dyDescent="0.25">
      <c r="A1535" s="6">
        <v>1534</v>
      </c>
      <c r="B1535" s="6" t="str">
        <f>HYPERLINK("https://www.kmpharma.in/product/28135","N-Nitroso Relugolix")</f>
        <v>N-Nitroso Relugolix</v>
      </c>
      <c r="C1535" s="6" t="str">
        <f>HYPERLINK("https://www.kmpharma.in/product/28135","KMR032001")</f>
        <v>KMR032001</v>
      </c>
      <c r="D1535" s="6" t="s">
        <v>7</v>
      </c>
      <c r="E1535" s="7" t="s">
        <v>321</v>
      </c>
    </row>
    <row r="1536" spans="1:5" x14ac:dyDescent="0.25">
      <c r="A1536" s="3">
        <v>1535</v>
      </c>
      <c r="B1536" s="3" t="str">
        <f>HYPERLINK("https://www.kmpharma.in/product/28261","N-Nitroso Reproterol")</f>
        <v>N-Nitroso Reproterol</v>
      </c>
      <c r="C1536" s="3" t="str">
        <f>HYPERLINK("https://www.kmpharma.in/product/28261","KMR038001")</f>
        <v>KMR038001</v>
      </c>
      <c r="D1536" s="3" t="s">
        <v>7</v>
      </c>
      <c r="E1536" s="5" t="s">
        <v>323</v>
      </c>
    </row>
    <row r="1537" spans="1:5" x14ac:dyDescent="0.25">
      <c r="A1537" s="6">
        <v>1536</v>
      </c>
      <c r="B1537" s="6" t="str">
        <f>HYPERLINK("https://www.kmpharma.in/product/28262","N-Nitroso Reproterol D6")</f>
        <v>N-Nitroso Reproterol D6</v>
      </c>
      <c r="C1537" s="6" t="str">
        <f>HYPERLINK("https://www.kmpharma.in/product/28262","KMR038002")</f>
        <v>KMR038002</v>
      </c>
      <c r="D1537" s="6" t="s">
        <v>7</v>
      </c>
      <c r="E1537" s="7" t="s">
        <v>323</v>
      </c>
    </row>
    <row r="1538" spans="1:5" x14ac:dyDescent="0.25">
      <c r="A1538" s="3">
        <v>1537</v>
      </c>
      <c r="B1538" s="3" t="str">
        <f>HYPERLINK("https://www.kmpharma.in/product/28451","N-Nitroso Ribociclib Impurity 4")</f>
        <v>N-Nitroso Ribociclib Impurity 4</v>
      </c>
      <c r="C1538" s="3" t="str">
        <f>HYPERLINK("https://www.kmpharma.in/product/28451","KMR005002")</f>
        <v>KMR005002</v>
      </c>
      <c r="D1538" s="3" t="s">
        <v>7</v>
      </c>
      <c r="E1538" s="5" t="s">
        <v>323</v>
      </c>
    </row>
    <row r="1539" spans="1:5" x14ac:dyDescent="0.25">
      <c r="A1539" s="6">
        <v>1538</v>
      </c>
      <c r="B1539" s="6" t="str">
        <f>HYPERLINK("https://www.kmpharma.in/product/28452","N-Nitroso Ribociclib Impurity 5")</f>
        <v>N-Nitroso Ribociclib Impurity 5</v>
      </c>
      <c r="C1539" s="6" t="str">
        <f>HYPERLINK("https://www.kmpharma.in/product/28452","KMR005003")</f>
        <v>KMR005003</v>
      </c>
      <c r="D1539" s="6" t="s">
        <v>7</v>
      </c>
      <c r="E1539" s="7" t="s">
        <v>323</v>
      </c>
    </row>
    <row r="1540" spans="1:5" x14ac:dyDescent="0.25">
      <c r="A1540" s="3">
        <v>1539</v>
      </c>
      <c r="B1540" s="3" t="str">
        <f>HYPERLINK("https://www.kmpharma.in/product/28494","N-Nitroso Rifabutin")</f>
        <v>N-Nitroso Rifabutin</v>
      </c>
      <c r="C1540" s="3" t="str">
        <f>HYPERLINK("https://www.kmpharma.in/product/28494","KMR053001")</f>
        <v>KMR053001</v>
      </c>
      <c r="D1540" s="3" t="s">
        <v>7</v>
      </c>
      <c r="E1540" s="5" t="s">
        <v>323</v>
      </c>
    </row>
    <row r="1541" spans="1:5" x14ac:dyDescent="0.25">
      <c r="A1541" s="6">
        <v>1540</v>
      </c>
      <c r="B1541" s="6" t="str">
        <f>HYPERLINK("https://www.kmpharma.in/product/28712","N-Nitroso Ripretinib")</f>
        <v>N-Nitroso Ripretinib</v>
      </c>
      <c r="C1541" s="6" t="str">
        <f>HYPERLINK("https://www.kmpharma.in/product/28712","KMR071001")</f>
        <v>KMR071001</v>
      </c>
      <c r="D1541" s="6" t="s">
        <v>7</v>
      </c>
      <c r="E1541" s="7" t="s">
        <v>321</v>
      </c>
    </row>
    <row r="1542" spans="1:5" x14ac:dyDescent="0.25">
      <c r="A1542" s="3">
        <v>1541</v>
      </c>
      <c r="B1542" s="3" t="str">
        <f>HYPERLINK("https://www.kmpharma.in/product/28713","N-Nitroso Ripretinib Impurity 1")</f>
        <v>N-Nitroso Ripretinib Impurity 1</v>
      </c>
      <c r="C1542" s="3" t="str">
        <f>HYPERLINK("https://www.kmpharma.in/product/28713","KMR071002")</f>
        <v>KMR071002</v>
      </c>
      <c r="D1542" s="3" t="s">
        <v>7</v>
      </c>
      <c r="E1542" s="5" t="s">
        <v>321</v>
      </c>
    </row>
    <row r="1543" spans="1:5" x14ac:dyDescent="0.25">
      <c r="A1543" s="6">
        <v>1542</v>
      </c>
      <c r="B1543" s="6" t="str">
        <f>HYPERLINK("https://www.kmpharma.in/product/28714","N-Nitroso Ripretinib Impurity 2")</f>
        <v>N-Nitroso Ripretinib Impurity 2</v>
      </c>
      <c r="C1543" s="6" t="str">
        <f>HYPERLINK("https://www.kmpharma.in/product/28714","KMR071003")</f>
        <v>KMR071003</v>
      </c>
      <c r="D1543" s="6" t="s">
        <v>7</v>
      </c>
      <c r="E1543" s="7" t="s">
        <v>321</v>
      </c>
    </row>
    <row r="1544" spans="1:5" x14ac:dyDescent="0.25">
      <c r="A1544" s="3">
        <v>1543</v>
      </c>
      <c r="B1544" s="3" t="str">
        <f>HYPERLINK("https://www.kmpharma.in/product/28721","N-Nitroso Risdiplam")</f>
        <v>N-Nitroso Risdiplam</v>
      </c>
      <c r="C1544" s="3" t="str">
        <f>HYPERLINK("https://www.kmpharma.in/product/28721","KMR003003")</f>
        <v>KMR003003</v>
      </c>
      <c r="D1544" s="3" t="s">
        <v>7</v>
      </c>
      <c r="E1544" s="3" t="s">
        <v>16</v>
      </c>
    </row>
    <row r="1545" spans="1:5" x14ac:dyDescent="0.25">
      <c r="A1545" s="6">
        <v>1544</v>
      </c>
      <c r="B1545" s="6" t="str">
        <f>HYPERLINK("https://www.kmpharma.in/product/28722","N-Nitroso Risdiplam Impurity 1")</f>
        <v>N-Nitroso Risdiplam Impurity 1</v>
      </c>
      <c r="C1545" s="6" t="str">
        <f>HYPERLINK("https://www.kmpharma.in/product/28722","KMR003004")</f>
        <v>KMR003004</v>
      </c>
      <c r="D1545" s="6" t="s">
        <v>7</v>
      </c>
      <c r="E1545" s="6" t="s">
        <v>16</v>
      </c>
    </row>
    <row r="1546" spans="1:5" x14ac:dyDescent="0.25">
      <c r="A1546" s="3">
        <v>1545</v>
      </c>
      <c r="B1546" s="3" t="str">
        <f>HYPERLINK("https://www.kmpharma.in/product/28723","N-Nitroso Risdiplam Impurity 2")</f>
        <v>N-Nitroso Risdiplam Impurity 2</v>
      </c>
      <c r="C1546" s="3" t="str">
        <f>HYPERLINK("https://www.kmpharma.in/product/28723","KMR003005")</f>
        <v>KMR003005</v>
      </c>
      <c r="D1546" s="3" t="s">
        <v>7</v>
      </c>
      <c r="E1546" s="5" t="s">
        <v>323</v>
      </c>
    </row>
    <row r="1547" spans="1:5" x14ac:dyDescent="0.25">
      <c r="A1547" s="6">
        <v>1546</v>
      </c>
      <c r="B1547" s="6" t="str">
        <f>HYPERLINK("https://www.kmpharma.in/product/28779","N-Nitroso Risperidone EP Impurity M")</f>
        <v>N-Nitroso Risperidone EP Impurity M</v>
      </c>
      <c r="C1547" s="6" t="str">
        <f>HYPERLINK("https://www.kmpharma.in/product/28779","KMR004010")</f>
        <v>KMR004010</v>
      </c>
      <c r="D1547" s="6" t="s">
        <v>174</v>
      </c>
      <c r="E1547" s="7" t="s">
        <v>321</v>
      </c>
    </row>
    <row r="1548" spans="1:5" x14ac:dyDescent="0.25">
      <c r="A1548" s="3">
        <v>1547</v>
      </c>
      <c r="B1548" s="3" t="str">
        <f>HYPERLINK("https://www.kmpharma.in/product/293","N-Nitroso Risperidone Impurity 1")</f>
        <v>N-Nitroso Risperidone Impurity 1</v>
      </c>
      <c r="C1548" s="3" t="str">
        <f>HYPERLINK("https://www.kmpharma.in/product/293","KMR004001")</f>
        <v>KMR004001</v>
      </c>
      <c r="D1548" s="3" t="s">
        <v>35</v>
      </c>
      <c r="E1548" s="5" t="s">
        <v>321</v>
      </c>
    </row>
    <row r="1549" spans="1:5" x14ac:dyDescent="0.25">
      <c r="A1549" s="6">
        <v>1548</v>
      </c>
      <c r="B1549" s="6" t="str">
        <f>HYPERLINK("https://www.kmpharma.in/product/37583","N-Nitroso Risperidone Impurity 1")</f>
        <v>N-Nitroso Risperidone Impurity 1</v>
      </c>
      <c r="C1549" s="6" t="str">
        <f>HYPERLINK("https://www.kmpharma.in/product/37583","KMR004011")</f>
        <v>KMR004011</v>
      </c>
      <c r="D1549" s="6" t="s">
        <v>7</v>
      </c>
      <c r="E1549" s="7" t="s">
        <v>321</v>
      </c>
    </row>
    <row r="1550" spans="1:5" x14ac:dyDescent="0.25">
      <c r="A1550" s="3">
        <v>1549</v>
      </c>
      <c r="B1550" s="3" t="str">
        <f>HYPERLINK("https://www.kmpharma.in/product/28780","N-Nitroso Risperidone Impurity 2")</f>
        <v>N-Nitroso Risperidone Impurity 2</v>
      </c>
      <c r="C1550" s="3" t="str">
        <f>HYPERLINK("https://www.kmpharma.in/product/28780","KMR004012")</f>
        <v>KMR004012</v>
      </c>
      <c r="D1550" s="3" t="s">
        <v>196</v>
      </c>
      <c r="E1550" s="5" t="s">
        <v>321</v>
      </c>
    </row>
    <row r="1551" spans="1:5" x14ac:dyDescent="0.25">
      <c r="A1551" s="6">
        <v>1550</v>
      </c>
      <c r="B1551" s="6" t="str">
        <f>HYPERLINK("https://www.kmpharma.in/product/29027","N-Nitroso Rivaroxaban Dioxazolidine Impurity")</f>
        <v>N-Nitroso Rivaroxaban Dioxazolidine Impurity</v>
      </c>
      <c r="C1551" s="6" t="str">
        <f>HYPERLINK("https://www.kmpharma.in/product/29027","KMR002021")</f>
        <v>KMR002021</v>
      </c>
      <c r="D1551" s="6" t="s">
        <v>7</v>
      </c>
      <c r="E1551" s="7" t="s">
        <v>322</v>
      </c>
    </row>
    <row r="1552" spans="1:5" x14ac:dyDescent="0.25">
      <c r="A1552" s="3">
        <v>1551</v>
      </c>
      <c r="B1552" s="3" t="str">
        <f>HYPERLINK("https://www.kmpharma.in/product/29025","N-Nitroso Rivaroxaban Open-Ring Acid D4")</f>
        <v>N-Nitroso Rivaroxaban Open-Ring Acid D4</v>
      </c>
      <c r="C1552" s="3" t="str">
        <f>HYPERLINK("https://www.kmpharma.in/product/29025","KMR002022")</f>
        <v>KMR002022</v>
      </c>
      <c r="D1552" s="3" t="s">
        <v>7</v>
      </c>
      <c r="E1552" s="5" t="s">
        <v>321</v>
      </c>
    </row>
    <row r="1553" spans="1:5" x14ac:dyDescent="0.25">
      <c r="A1553" s="6">
        <v>1552</v>
      </c>
      <c r="B1553" s="6" t="str">
        <f>HYPERLINK("https://www.kmpharma.in/product/248","N-Nitroso Rivaroxaban Open-Ring Acid Impurity")</f>
        <v>N-Nitroso Rivaroxaban Open-Ring Acid Impurity</v>
      </c>
      <c r="C1553" s="6" t="str">
        <f>HYPERLINK("https://www.kmpharma.in/product/248","KMR002002")</f>
        <v>KMR002002</v>
      </c>
      <c r="D1553" s="6" t="s">
        <v>35</v>
      </c>
      <c r="E1553" s="7" t="s">
        <v>321</v>
      </c>
    </row>
    <row r="1554" spans="1:5" x14ac:dyDescent="0.25">
      <c r="A1554" s="3">
        <v>1553</v>
      </c>
      <c r="B1554" s="3" t="str">
        <f>HYPERLINK("https://www.kmpharma.in/product/37586","N-Nitroso Rivaroxaban Open-Ring Acid Impurity")</f>
        <v>N-Nitroso Rivaroxaban Open-Ring Acid Impurity</v>
      </c>
      <c r="C1554" s="3" t="str">
        <f>HYPERLINK("https://www.kmpharma.in/product/37586","KMR002023")</f>
        <v>KMR002023</v>
      </c>
      <c r="D1554" s="3" t="s">
        <v>7</v>
      </c>
      <c r="E1554" s="5" t="s">
        <v>321</v>
      </c>
    </row>
    <row r="1555" spans="1:5" x14ac:dyDescent="0.25">
      <c r="A1555" s="6">
        <v>1554</v>
      </c>
      <c r="B1555" s="6" t="str">
        <f>HYPERLINK("https://www.kmpharma.in/product/29043","N-Nitroso Rivastigmine Hydrogen Tartrate EP Impurity E")</f>
        <v>N-Nitroso Rivastigmine Hydrogen Tartrate EP Impurity E</v>
      </c>
      <c r="C1555" s="6" t="str">
        <f>HYPERLINK("https://www.kmpharma.in/product/29043","KMR007003")</f>
        <v>KMR007003</v>
      </c>
      <c r="D1555" s="6" t="s">
        <v>7</v>
      </c>
      <c r="E1555" s="7" t="s">
        <v>321</v>
      </c>
    </row>
    <row r="1556" spans="1:5" x14ac:dyDescent="0.25">
      <c r="A1556" s="3">
        <v>1555</v>
      </c>
      <c r="B1556" s="3" t="str">
        <f>HYPERLINK("https://www.kmpharma.in/product/29080","N-Nitroso Rivastigmine Impurity")</f>
        <v>N-Nitroso Rivastigmine Impurity</v>
      </c>
      <c r="C1556" s="3" t="str">
        <f>HYPERLINK("https://www.kmpharma.in/product/29080","KMR007004")</f>
        <v>KMR007004</v>
      </c>
      <c r="D1556" s="3" t="s">
        <v>7</v>
      </c>
      <c r="E1556" s="5" t="s">
        <v>323</v>
      </c>
    </row>
    <row r="1557" spans="1:5" x14ac:dyDescent="0.25">
      <c r="A1557" s="6">
        <v>1556</v>
      </c>
      <c r="B1557" s="6" t="str">
        <f>HYPERLINK("https://www.kmpharma.in/product/29114","N-Nitroso Rizatriptan")</f>
        <v>N-Nitroso Rizatriptan</v>
      </c>
      <c r="C1557" s="6" t="str">
        <f>HYPERLINK("https://www.kmpharma.in/product/29114","KMR074004")</f>
        <v>KMR074004</v>
      </c>
      <c r="D1557" s="6" t="s">
        <v>7</v>
      </c>
      <c r="E1557" s="7" t="s">
        <v>323</v>
      </c>
    </row>
    <row r="1558" spans="1:5" x14ac:dyDescent="0.25">
      <c r="A1558" s="3">
        <v>1557</v>
      </c>
      <c r="B1558" s="3" t="str">
        <f>HYPERLINK("https://www.kmpharma.in/product/29185","N-Nitroso Rolapitant")</f>
        <v>N-Nitroso Rolapitant</v>
      </c>
      <c r="C1558" s="3" t="str">
        <f>HYPERLINK("https://www.kmpharma.in/product/29185","KMR077001")</f>
        <v>KMR077001</v>
      </c>
      <c r="D1558" s="3" t="s">
        <v>7</v>
      </c>
      <c r="E1558" s="5" t="s">
        <v>323</v>
      </c>
    </row>
    <row r="1559" spans="1:5" x14ac:dyDescent="0.25">
      <c r="A1559" s="6">
        <v>1558</v>
      </c>
      <c r="B1559" s="6" t="str">
        <f>HYPERLINK("https://www.kmpharma.in/product/29251","N-Nitroso Ropinirole")</f>
        <v>N-Nitroso Ropinirole</v>
      </c>
      <c r="C1559" s="6" t="str">
        <f>HYPERLINK("https://www.kmpharma.in/product/29251","KMR081005")</f>
        <v>KMR081005</v>
      </c>
      <c r="D1559" s="6" t="s">
        <v>7</v>
      </c>
      <c r="E1559" s="6" t="s">
        <v>16</v>
      </c>
    </row>
    <row r="1560" spans="1:5" x14ac:dyDescent="0.25">
      <c r="A1560" s="3">
        <v>1559</v>
      </c>
      <c r="B1560" s="3" t="str">
        <f>HYPERLINK("https://www.kmpharma.in/product/29250","N-Nitroso Ropinirole EP Impurity B")</f>
        <v>N-Nitroso Ropinirole EP Impurity B</v>
      </c>
      <c r="C1560" s="3" t="str">
        <f>HYPERLINK("https://www.kmpharma.in/product/29250","KMR081006")</f>
        <v>KMR081006</v>
      </c>
      <c r="D1560" s="3" t="s">
        <v>7</v>
      </c>
      <c r="E1560" s="5" t="s">
        <v>321</v>
      </c>
    </row>
    <row r="1561" spans="1:5" x14ac:dyDescent="0.25">
      <c r="A1561" s="6">
        <v>1560</v>
      </c>
      <c r="B1561" s="6" t="str">
        <f>HYPERLINK("https://www.kmpharma.in/product/29249","N-Nitroso Ropinirole EP Impurity D")</f>
        <v>N-Nitroso Ropinirole EP Impurity D</v>
      </c>
      <c r="C1561" s="6" t="str">
        <f>HYPERLINK("https://www.kmpharma.in/product/29249","KMR081007")</f>
        <v>KMR081007</v>
      </c>
      <c r="D1561" s="6" t="s">
        <v>7</v>
      </c>
      <c r="E1561" s="7" t="s">
        <v>321</v>
      </c>
    </row>
    <row r="1562" spans="1:5" x14ac:dyDescent="0.25">
      <c r="A1562" s="3">
        <v>1561</v>
      </c>
      <c r="B1562" s="3" t="str">
        <f>HYPERLINK("https://www.kmpharma.in/product/29458","N-Nitroso Rosuvastatin")</f>
        <v>N-Nitroso Rosuvastatin</v>
      </c>
      <c r="C1562" s="3" t="str">
        <f>HYPERLINK("https://www.kmpharma.in/product/29458","KMR010006")</f>
        <v>KMR010006</v>
      </c>
      <c r="D1562" s="3" t="s">
        <v>7</v>
      </c>
      <c r="E1562" s="5" t="s">
        <v>321</v>
      </c>
    </row>
    <row r="1563" spans="1:5" x14ac:dyDescent="0.25">
      <c r="A1563" s="6">
        <v>1562</v>
      </c>
      <c r="B1563" s="6" t="str">
        <f>HYPERLINK("https://www.kmpharma.in/product/29476","N-Nitroso Rotigotine EP Impurity B")</f>
        <v>N-Nitroso Rotigotine EP Impurity B</v>
      </c>
      <c r="C1563" s="6" t="str">
        <f>HYPERLINK("https://www.kmpharma.in/product/29476","KMR085001")</f>
        <v>KMR085001</v>
      </c>
      <c r="D1563" s="6" t="s">
        <v>7</v>
      </c>
      <c r="E1563" s="6" t="s">
        <v>16</v>
      </c>
    </row>
    <row r="1564" spans="1:5" x14ac:dyDescent="0.25">
      <c r="A1564" s="3">
        <v>1563</v>
      </c>
      <c r="B1564" s="3" t="str">
        <f>HYPERLINK("https://www.kmpharma.in/product/29479","N-Nitroso Rotigotine EP Impurity B D5")</f>
        <v>N-Nitroso Rotigotine EP Impurity B D5</v>
      </c>
      <c r="C1564" s="3" t="str">
        <f>HYPERLINK("https://www.kmpharma.in/product/29479","KMR085002")</f>
        <v>KMR085002</v>
      </c>
      <c r="D1564" s="3" t="s">
        <v>7</v>
      </c>
      <c r="E1564" s="5" t="s">
        <v>323</v>
      </c>
    </row>
    <row r="1565" spans="1:5" x14ac:dyDescent="0.25">
      <c r="A1565" s="6">
        <v>1564</v>
      </c>
      <c r="B1565" s="6" t="str">
        <f>HYPERLINK("https://www.kmpharma.in/product/29477","N-Nitroso Rotigotine EP Impurity C")</f>
        <v>N-Nitroso Rotigotine EP Impurity C</v>
      </c>
      <c r="C1565" s="6" t="str">
        <f>HYPERLINK("https://www.kmpharma.in/product/29477","KMR085003")</f>
        <v>KMR085003</v>
      </c>
      <c r="D1565" s="6" t="s">
        <v>7</v>
      </c>
      <c r="E1565" s="7" t="s">
        <v>321</v>
      </c>
    </row>
    <row r="1566" spans="1:5" x14ac:dyDescent="0.25">
      <c r="A1566" s="3">
        <v>1565</v>
      </c>
      <c r="B1566" s="3" t="str">
        <f>HYPERLINK("https://www.kmpharma.in/product/29480","N-Nitroso Rotigotine EP Impurity C D4")</f>
        <v>N-Nitroso Rotigotine EP Impurity C D4</v>
      </c>
      <c r="C1566" s="3" t="str">
        <f>HYPERLINK("https://www.kmpharma.in/product/29480","KMR085004")</f>
        <v>KMR085004</v>
      </c>
      <c r="D1566" s="3" t="s">
        <v>7</v>
      </c>
      <c r="E1566" s="5" t="s">
        <v>321</v>
      </c>
    </row>
    <row r="1567" spans="1:5" x14ac:dyDescent="0.25">
      <c r="A1567" s="6">
        <v>1566</v>
      </c>
      <c r="B1567" s="6" t="str">
        <f>HYPERLINK("https://www.kmpharma.in/product/20508","N-Nitroso S-Methylaminobenzoyl Glutamicester")</f>
        <v>N-Nitroso S-Methylaminobenzoyl Glutamicester</v>
      </c>
      <c r="C1567" s="6" t="str">
        <f>HYPERLINK("https://www.kmpharma.in/product/20508","KMM018062")</f>
        <v>KMM018062</v>
      </c>
      <c r="D1567" s="6" t="s">
        <v>7</v>
      </c>
      <c r="E1567" s="7" t="s">
        <v>321</v>
      </c>
    </row>
    <row r="1568" spans="1:5" x14ac:dyDescent="0.25">
      <c r="A1568" s="3">
        <v>1567</v>
      </c>
      <c r="B1568" s="3" t="str">
        <f>HYPERLINK("https://www.kmpharma.in/product/21143","N-Nitroso S-Mirabegron")</f>
        <v>N-Nitroso S-Mirabegron</v>
      </c>
      <c r="C1568" s="3" t="str">
        <f>HYPERLINK("https://www.kmpharma.in/product/21143","KMM003114")</f>
        <v>KMM003114</v>
      </c>
      <c r="D1568" s="3" t="s">
        <v>197</v>
      </c>
      <c r="E1568" s="5" t="s">
        <v>321</v>
      </c>
    </row>
    <row r="1569" spans="1:5" x14ac:dyDescent="0.25">
      <c r="A1569" s="6">
        <v>1568</v>
      </c>
      <c r="B1569" s="6" t="str">
        <f>HYPERLINK("https://www.kmpharma.in/product/29743","N-Nitroso Sacubitril")</f>
        <v>N-Nitroso Sacubitril</v>
      </c>
      <c r="C1569" s="6" t="str">
        <f>HYPERLINK("https://www.kmpharma.in/product/29743","KMS014004")</f>
        <v>KMS014004</v>
      </c>
      <c r="D1569" s="6" t="s">
        <v>7</v>
      </c>
      <c r="E1569" s="7" t="s">
        <v>323</v>
      </c>
    </row>
    <row r="1570" spans="1:5" x14ac:dyDescent="0.25">
      <c r="A1570" s="3">
        <v>1569</v>
      </c>
      <c r="B1570" s="3" t="str">
        <f>HYPERLINK("https://www.kmpharma.in/product/29744","N-Nitroso Sacubitril Impurity 1")</f>
        <v>N-Nitroso Sacubitril Impurity 1</v>
      </c>
      <c r="C1570" s="3" t="str">
        <f>HYPERLINK("https://www.kmpharma.in/product/29744","KMS014005")</f>
        <v>KMS014005</v>
      </c>
      <c r="D1570" s="3" t="s">
        <v>7</v>
      </c>
      <c r="E1570" s="5" t="s">
        <v>321</v>
      </c>
    </row>
    <row r="1571" spans="1:5" x14ac:dyDescent="0.25">
      <c r="A1571" s="6">
        <v>1570</v>
      </c>
      <c r="B1571" s="6" t="str">
        <f>HYPERLINK("https://www.kmpharma.in/product/29745","N-Nitroso Sacubitril Valsartan")</f>
        <v>N-Nitroso Sacubitril Valsartan</v>
      </c>
      <c r="C1571" s="6" t="str">
        <f>HYPERLINK("https://www.kmpharma.in/product/29745","KMS014006")</f>
        <v>KMS014006</v>
      </c>
      <c r="D1571" s="6" t="s">
        <v>7</v>
      </c>
      <c r="E1571" s="7" t="s">
        <v>321</v>
      </c>
    </row>
    <row r="1572" spans="1:5" x14ac:dyDescent="0.25">
      <c r="A1572" s="3">
        <v>1571</v>
      </c>
      <c r="B1572" s="3" t="str">
        <f>HYPERLINK("https://www.kmpharma.in/product/29767","N-Nitroso Safinamide")</f>
        <v>N-Nitroso Safinamide</v>
      </c>
      <c r="C1572" s="3" t="str">
        <f>HYPERLINK("https://www.kmpharma.in/product/29767","KMS018003")</f>
        <v>KMS018003</v>
      </c>
      <c r="D1572" s="3" t="s">
        <v>198</v>
      </c>
      <c r="E1572" s="5" t="s">
        <v>323</v>
      </c>
    </row>
    <row r="1573" spans="1:5" x14ac:dyDescent="0.25">
      <c r="A1573" s="6">
        <v>1572</v>
      </c>
      <c r="B1573" s="6" t="str">
        <f>HYPERLINK("https://www.kmpharma.in/product/29768","N-Nitroso Safinamide Acid")</f>
        <v>N-Nitroso Safinamide Acid</v>
      </c>
      <c r="C1573" s="6" t="str">
        <f>HYPERLINK("https://www.kmpharma.in/product/29768","KMS018004")</f>
        <v>KMS018004</v>
      </c>
      <c r="D1573" s="6" t="s">
        <v>7</v>
      </c>
      <c r="E1573" s="7" t="s">
        <v>323</v>
      </c>
    </row>
    <row r="1574" spans="1:5" x14ac:dyDescent="0.25">
      <c r="A1574" s="3">
        <v>1573</v>
      </c>
      <c r="B1574" s="3" t="str">
        <f>HYPERLINK("https://www.kmpharma.in/product/29769","N-nitroso Safinamide R-Isomer Impurity")</f>
        <v>N-nitroso Safinamide R-Isomer Impurity</v>
      </c>
      <c r="C1574" s="3" t="str">
        <f>HYPERLINK("https://www.kmpharma.in/product/29769","KMS018005")</f>
        <v>KMS018005</v>
      </c>
      <c r="D1574" s="3" t="s">
        <v>7</v>
      </c>
      <c r="E1574" s="3" t="s">
        <v>16</v>
      </c>
    </row>
    <row r="1575" spans="1:5" x14ac:dyDescent="0.25">
      <c r="A1575" s="6">
        <v>1574</v>
      </c>
      <c r="B1575" s="6" t="str">
        <f>HYPERLINK("https://www.kmpharma.in/product/29841","N-Nitroso Salbutamol EP Impurity J")</f>
        <v>N-Nitroso Salbutamol EP Impurity J</v>
      </c>
      <c r="C1575" s="6" t="str">
        <f>HYPERLINK("https://www.kmpharma.in/product/29841","KMS009008")</f>
        <v>KMS009008</v>
      </c>
      <c r="D1575" s="6" t="s">
        <v>7</v>
      </c>
      <c r="E1575" s="6" t="s">
        <v>16</v>
      </c>
    </row>
    <row r="1576" spans="1:5" x14ac:dyDescent="0.25">
      <c r="A1576" s="3">
        <v>1575</v>
      </c>
      <c r="B1576" s="3" t="str">
        <f>HYPERLINK("https://www.kmpharma.in/product/30071","N-Nitroso Saxagliptin Impurity 1")</f>
        <v>N-Nitroso Saxagliptin Impurity 1</v>
      </c>
      <c r="C1576" s="3" t="str">
        <f>HYPERLINK("https://www.kmpharma.in/product/30071","KMS007037")</f>
        <v>KMS007037</v>
      </c>
      <c r="D1576" s="3" t="s">
        <v>7</v>
      </c>
      <c r="E1576" s="5" t="s">
        <v>322</v>
      </c>
    </row>
    <row r="1577" spans="1:5" x14ac:dyDescent="0.25">
      <c r="A1577" s="6">
        <v>1576</v>
      </c>
      <c r="B1577" s="6" t="str">
        <f>HYPERLINK("https://www.kmpharma.in/product/30072","N-Nitroso Saxagliptin Impurity 2")</f>
        <v>N-Nitroso Saxagliptin Impurity 2</v>
      </c>
      <c r="C1577" s="6" t="str">
        <f>HYPERLINK("https://www.kmpharma.in/product/30072","KMS007038")</f>
        <v>KMS007038</v>
      </c>
      <c r="D1577" s="6" t="s">
        <v>7</v>
      </c>
      <c r="E1577" s="7" t="s">
        <v>321</v>
      </c>
    </row>
    <row r="1578" spans="1:5" x14ac:dyDescent="0.25">
      <c r="A1578" s="3">
        <v>1577</v>
      </c>
      <c r="B1578" s="3" t="str">
        <f>HYPERLINK("https://www.kmpharma.in/product/30108","N-Nitroso Selegiline Aziridine")</f>
        <v>N-Nitroso Selegiline Aziridine</v>
      </c>
      <c r="C1578" s="3" t="str">
        <f>HYPERLINK("https://www.kmpharma.in/product/30108","KMS039004")</f>
        <v>KMS039004</v>
      </c>
      <c r="D1578" s="3" t="s">
        <v>7</v>
      </c>
      <c r="E1578" s="5" t="s">
        <v>321</v>
      </c>
    </row>
    <row r="1579" spans="1:5" x14ac:dyDescent="0.25">
      <c r="A1579" s="6">
        <v>1578</v>
      </c>
      <c r="B1579" s="6" t="str">
        <f>HYPERLINK("https://www.kmpharma.in/product/30109","N-Nitroso Selegiline EP Impurity D")</f>
        <v>N-Nitroso Selegiline EP Impurity D</v>
      </c>
      <c r="C1579" s="6" t="str">
        <f>HYPERLINK("https://www.kmpharma.in/product/30109","KMS039005")</f>
        <v>KMS039005</v>
      </c>
      <c r="D1579" s="6" t="s">
        <v>7</v>
      </c>
      <c r="E1579" s="7" t="s">
        <v>321</v>
      </c>
    </row>
    <row r="1580" spans="1:5" x14ac:dyDescent="0.25">
      <c r="A1580" s="3">
        <v>1579</v>
      </c>
      <c r="B1580" s="3" t="str">
        <f>HYPERLINK("https://www.kmpharma.in/product/30346","N-Nitroso Serotonin")</f>
        <v>N-Nitroso Serotonin</v>
      </c>
      <c r="C1580" s="3" t="str">
        <f>HYPERLINK("https://www.kmpharma.in/product/30346","KMS052002")</f>
        <v>KMS052002</v>
      </c>
      <c r="D1580" s="3" t="s">
        <v>7</v>
      </c>
      <c r="E1580" s="5" t="s">
        <v>321</v>
      </c>
    </row>
    <row r="1581" spans="1:5" x14ac:dyDescent="0.25">
      <c r="A1581" s="6">
        <v>1580</v>
      </c>
      <c r="B1581" s="6" t="str">
        <f>HYPERLINK("https://www.kmpharma.in/product/30404","N-Nitroso Sertraline EP Impurity A")</f>
        <v>N-Nitroso Sertraline EP Impurity A</v>
      </c>
      <c r="C1581" s="6" t="str">
        <f>HYPERLINK("https://www.kmpharma.in/product/30404","KMS003014")</f>
        <v>KMS003014</v>
      </c>
      <c r="D1581" s="6" t="s">
        <v>7</v>
      </c>
      <c r="E1581" s="6" t="s">
        <v>16</v>
      </c>
    </row>
    <row r="1582" spans="1:5" x14ac:dyDescent="0.25">
      <c r="A1582" s="3">
        <v>1581</v>
      </c>
      <c r="B1582" s="3" t="str">
        <f>HYPERLINK("https://www.kmpharma.in/product/30405","N-Nitroso Sertraline EP Impurity B")</f>
        <v>N-Nitroso Sertraline EP Impurity B</v>
      </c>
      <c r="C1582" s="3" t="str">
        <f>HYPERLINK("https://www.kmpharma.in/product/30405","KMS003015")</f>
        <v>KMS003015</v>
      </c>
      <c r="D1582" s="3" t="s">
        <v>7</v>
      </c>
      <c r="E1582" s="5" t="s">
        <v>321</v>
      </c>
    </row>
    <row r="1583" spans="1:5" x14ac:dyDescent="0.25">
      <c r="A1583" s="6">
        <v>1582</v>
      </c>
      <c r="B1583" s="6" t="str">
        <f>HYPERLINK("https://www.kmpharma.in/product/30406","N-Nitroso Sertraline EP Impurity C")</f>
        <v>N-Nitroso Sertraline EP Impurity C</v>
      </c>
      <c r="C1583" s="6" t="str">
        <f>HYPERLINK("https://www.kmpharma.in/product/30406","KMS003016")</f>
        <v>KMS003016</v>
      </c>
      <c r="D1583" s="6" t="s">
        <v>7</v>
      </c>
      <c r="E1583" s="7" t="s">
        <v>321</v>
      </c>
    </row>
    <row r="1584" spans="1:5" x14ac:dyDescent="0.25">
      <c r="A1584" s="3">
        <v>1583</v>
      </c>
      <c r="B1584" s="3" t="str">
        <f>HYPERLINK("https://www.kmpharma.in/product/30407","N-Nitroso Sertraline EP Impurity D")</f>
        <v>N-Nitroso Sertraline EP Impurity D</v>
      </c>
      <c r="C1584" s="3" t="str">
        <f>HYPERLINK("https://www.kmpharma.in/product/30407","KMS003017")</f>
        <v>KMS003017</v>
      </c>
      <c r="D1584" s="3" t="s">
        <v>7</v>
      </c>
      <c r="E1584" s="5" t="s">
        <v>321</v>
      </c>
    </row>
    <row r="1585" spans="1:5" x14ac:dyDescent="0.25">
      <c r="A1585" s="6">
        <v>1584</v>
      </c>
      <c r="B1585" s="6" t="str">
        <f>HYPERLINK("https://www.kmpharma.in/product/30408","N-Nitroso Sertraline EP Impurity G")</f>
        <v>N-Nitroso Sertraline EP Impurity G</v>
      </c>
      <c r="C1585" s="6" t="str">
        <f>HYPERLINK("https://www.kmpharma.in/product/30408","KMS003018")</f>
        <v>KMS003018</v>
      </c>
      <c r="D1585" s="6" t="s">
        <v>7</v>
      </c>
      <c r="E1585" s="7" t="s">
        <v>321</v>
      </c>
    </row>
    <row r="1586" spans="1:5" x14ac:dyDescent="0.25">
      <c r="A1586" s="3">
        <v>1585</v>
      </c>
      <c r="B1586" s="3" t="str">
        <f>HYPERLINK("https://www.kmpharma.in/product/30503","N-Nitroso Sildenafil")</f>
        <v>N-Nitroso Sildenafil</v>
      </c>
      <c r="C1586" s="3" t="str">
        <f>HYPERLINK("https://www.kmpharma.in/product/30503","KMS002025")</f>
        <v>KMS002025</v>
      </c>
      <c r="D1586" s="3" t="s">
        <v>7</v>
      </c>
      <c r="E1586" s="5" t="s">
        <v>321</v>
      </c>
    </row>
    <row r="1587" spans="1:5" x14ac:dyDescent="0.25">
      <c r="A1587" s="6">
        <v>1586</v>
      </c>
      <c r="B1587" s="6" t="str">
        <f>HYPERLINK("https://www.kmpharma.in/product/30562","N-Nitroso Silodosin Impurity 2")</f>
        <v>N-Nitroso Silodosin Impurity 2</v>
      </c>
      <c r="C1587" s="6" t="str">
        <f>HYPERLINK("https://www.kmpharma.in/product/30562","KMS004009")</f>
        <v>KMS004009</v>
      </c>
      <c r="D1587" s="6" t="s">
        <v>7</v>
      </c>
      <c r="E1587" s="7" t="s">
        <v>321</v>
      </c>
    </row>
    <row r="1588" spans="1:5" x14ac:dyDescent="0.25">
      <c r="A1588" s="3">
        <v>1587</v>
      </c>
      <c r="B1588" s="3" t="str">
        <f>HYPERLINK("https://www.kmpharma.in/product/30563","N-Nitroso Silodosin Nitrile Impurity")</f>
        <v>N-Nitroso Silodosin Nitrile Impurity</v>
      </c>
      <c r="C1588" s="3" t="str">
        <f>HYPERLINK("https://www.kmpharma.in/product/30563","KMS004010")</f>
        <v>KMS004010</v>
      </c>
      <c r="D1588" s="3" t="s">
        <v>7</v>
      </c>
      <c r="E1588" s="5" t="s">
        <v>321</v>
      </c>
    </row>
    <row r="1589" spans="1:5" x14ac:dyDescent="0.25">
      <c r="A1589" s="6">
        <v>1588</v>
      </c>
      <c r="B1589" s="6" t="str">
        <f>HYPERLINK("https://www.kmpharma.in/product/30557","N-Nitroso Silodosin-D4")</f>
        <v>N-Nitroso Silodosin-D4</v>
      </c>
      <c r="C1589" s="6" t="str">
        <f>HYPERLINK("https://www.kmpharma.in/product/30557","KMS004011")</f>
        <v>KMS004011</v>
      </c>
      <c r="D1589" s="6" t="s">
        <v>7</v>
      </c>
      <c r="E1589" s="7" t="s">
        <v>321</v>
      </c>
    </row>
    <row r="1590" spans="1:5" x14ac:dyDescent="0.25">
      <c r="A1590" s="3">
        <v>1589</v>
      </c>
      <c r="B1590" s="3" t="str">
        <f>HYPERLINK("https://www.kmpharma.in/product/30841","N-Nitroso Sitagliptin D4")</f>
        <v>N-Nitroso Sitagliptin D4</v>
      </c>
      <c r="C1590" s="3" t="str">
        <f>HYPERLINK("https://www.kmpharma.in/product/30841","KMS010010")</f>
        <v>KMS010010</v>
      </c>
      <c r="D1590" s="3" t="s">
        <v>7</v>
      </c>
      <c r="E1590" s="5" t="s">
        <v>321</v>
      </c>
    </row>
    <row r="1591" spans="1:5" x14ac:dyDescent="0.25">
      <c r="A1591" s="6">
        <v>1590</v>
      </c>
      <c r="B1591" s="6" t="str">
        <f>HYPERLINK("https://www.kmpharma.in/product/30842","N-Nitroso Sitagliptin FP Impurity A")</f>
        <v>N-Nitroso Sitagliptin FP Impurity A</v>
      </c>
      <c r="C1591" s="6" t="str">
        <f>HYPERLINK("https://www.kmpharma.in/product/30842","KMS010011")</f>
        <v>KMS010011</v>
      </c>
      <c r="D1591" s="6" t="s">
        <v>7</v>
      </c>
      <c r="E1591" s="7" t="s">
        <v>321</v>
      </c>
    </row>
    <row r="1592" spans="1:5" x14ac:dyDescent="0.25">
      <c r="A1592" s="3">
        <v>1591</v>
      </c>
      <c r="B1592" s="3" t="str">
        <f>HYPERLINK("https://www.kmpharma.in/product/30840","N-Nitroso Sitagliptin FP Impurity A D4")</f>
        <v>N-Nitroso Sitagliptin FP Impurity A D4</v>
      </c>
      <c r="C1592" s="3" t="str">
        <f>HYPERLINK("https://www.kmpharma.in/product/30840","KMS010012")</f>
        <v>KMS010012</v>
      </c>
      <c r="D1592" s="3" t="s">
        <v>7</v>
      </c>
      <c r="E1592" s="5" t="s">
        <v>321</v>
      </c>
    </row>
    <row r="1593" spans="1:5" x14ac:dyDescent="0.25">
      <c r="A1593" s="6">
        <v>1592</v>
      </c>
      <c r="B1593" s="6" t="str">
        <f>HYPERLINK("https://www.kmpharma.in/product/429","N-Nitroso Sitagliptin Impurity")</f>
        <v>N-Nitroso Sitagliptin Impurity</v>
      </c>
      <c r="C1593" s="6" t="str">
        <f>HYPERLINK("https://www.kmpharma.in/product/429","KMS010001")</f>
        <v>KMS010001</v>
      </c>
      <c r="D1593" s="6" t="s">
        <v>199</v>
      </c>
      <c r="E1593" s="6" t="s">
        <v>16</v>
      </c>
    </row>
    <row r="1594" spans="1:5" x14ac:dyDescent="0.25">
      <c r="A1594" s="3">
        <v>1593</v>
      </c>
      <c r="B1594" s="3" t="str">
        <f>HYPERLINK("https://www.kmpharma.in/product/34849","N-Nitroso Sitagliptin Impurity")</f>
        <v>N-Nitroso Sitagliptin Impurity</v>
      </c>
      <c r="C1594" s="3" t="str">
        <f>HYPERLINK("https://www.kmpharma.in/product/34849","KMS010013")</f>
        <v>KMS010013</v>
      </c>
      <c r="D1594" s="3" t="s">
        <v>199</v>
      </c>
      <c r="E1594" s="3" t="s">
        <v>16</v>
      </c>
    </row>
    <row r="1595" spans="1:5" x14ac:dyDescent="0.25">
      <c r="A1595" s="6">
        <v>1594</v>
      </c>
      <c r="B1595" s="6" t="str">
        <f>HYPERLINK("https://www.kmpharma.in/product/31182","N-Nitroso Sotalol EP Impurity A")</f>
        <v>N-Nitroso Sotalol EP Impurity A</v>
      </c>
      <c r="C1595" s="6" t="str">
        <f>HYPERLINK("https://www.kmpharma.in/product/31182","KMS077001")</f>
        <v>KMS077001</v>
      </c>
      <c r="D1595" s="6" t="s">
        <v>7</v>
      </c>
      <c r="E1595" s="6" t="s">
        <v>16</v>
      </c>
    </row>
    <row r="1596" spans="1:5" x14ac:dyDescent="0.25">
      <c r="A1596" s="3">
        <v>1595</v>
      </c>
      <c r="B1596" s="3" t="str">
        <f>HYPERLINK("https://www.kmpharma.in/product/31183","N-Nitroso Sotalol EP Impurity B")</f>
        <v>N-Nitroso Sotalol EP Impurity B</v>
      </c>
      <c r="C1596" s="3" t="str">
        <f>HYPERLINK("https://www.kmpharma.in/product/31183","KMS077002")</f>
        <v>KMS077002</v>
      </c>
      <c r="D1596" s="3" t="s">
        <v>7</v>
      </c>
      <c r="E1596" s="5" t="s">
        <v>321</v>
      </c>
    </row>
    <row r="1597" spans="1:5" x14ac:dyDescent="0.25">
      <c r="A1597" s="6">
        <v>1596</v>
      </c>
      <c r="B1597" s="6" t="str">
        <f>HYPERLINK("https://www.kmpharma.in/product/34979","N-Nitroso Spiro Almotriptan")</f>
        <v>N-Nitroso Spiro Almotriptan</v>
      </c>
      <c r="C1597" s="6" t="str">
        <f>HYPERLINK("https://www.kmpharma.in/product/34979","KMA098036")</f>
        <v>KMA098036</v>
      </c>
      <c r="D1597" s="6" t="s">
        <v>7</v>
      </c>
      <c r="E1597" s="7" t="s">
        <v>321</v>
      </c>
    </row>
    <row r="1598" spans="1:5" x14ac:dyDescent="0.25">
      <c r="A1598" s="3">
        <v>1597</v>
      </c>
      <c r="B1598" s="3" t="str">
        <f>HYPERLINK("https://www.kmpharma.in/product/20850","N-Nitroso Staurosporine Impurity")</f>
        <v>N-Nitroso Staurosporine Impurity</v>
      </c>
      <c r="C1598" s="3" t="str">
        <f>HYPERLINK("https://www.kmpharma.in/product/20850","KMM130016")</f>
        <v>KMM130016</v>
      </c>
      <c r="D1598" s="3" t="s">
        <v>7</v>
      </c>
      <c r="E1598" s="5" t="s">
        <v>321</v>
      </c>
    </row>
    <row r="1599" spans="1:5" x14ac:dyDescent="0.25">
      <c r="A1599" s="6">
        <v>1598</v>
      </c>
      <c r="B1599" s="6" t="str">
        <f>HYPERLINK("https://www.kmpharma.in/product/10152","N-Nitroso Streptomycin")</f>
        <v>N-Nitroso Streptomycin</v>
      </c>
      <c r="C1599" s="6" t="str">
        <f>HYPERLINK("https://www.kmpharma.in/product/10152","KMD118005")</f>
        <v>KMD118005</v>
      </c>
      <c r="D1599" s="6" t="s">
        <v>7</v>
      </c>
      <c r="E1599" s="7" t="s">
        <v>321</v>
      </c>
    </row>
    <row r="1600" spans="1:5" x14ac:dyDescent="0.25">
      <c r="A1600" s="3">
        <v>1599</v>
      </c>
      <c r="B1600" s="3" t="str">
        <f>HYPERLINK("https://www.kmpharma.in/product/31553","N-Nitroso Sultimicllin EP Impurity D")</f>
        <v>N-Nitroso Sultimicllin EP Impurity D</v>
      </c>
      <c r="C1600" s="3" t="str">
        <f>HYPERLINK("https://www.kmpharma.in/product/31553","KMS111001")</f>
        <v>KMS111001</v>
      </c>
      <c r="D1600" s="3" t="s">
        <v>7</v>
      </c>
      <c r="E1600" s="5" t="s">
        <v>321</v>
      </c>
    </row>
    <row r="1601" spans="1:5" x14ac:dyDescent="0.25">
      <c r="A1601" s="6">
        <v>1600</v>
      </c>
      <c r="B1601" s="6" t="str">
        <f>HYPERLINK("https://www.kmpharma.in/product/31554","N-Nitroso Sultimicllin Impurity")</f>
        <v>N-Nitroso Sultimicllin Impurity</v>
      </c>
      <c r="C1601" s="6" t="str">
        <f>HYPERLINK("https://www.kmpharma.in/product/31554","KMS111002")</f>
        <v>KMS111002</v>
      </c>
      <c r="D1601" s="6" t="s">
        <v>7</v>
      </c>
      <c r="E1601" s="7" t="s">
        <v>321</v>
      </c>
    </row>
    <row r="1602" spans="1:5" x14ac:dyDescent="0.25">
      <c r="A1602" s="3">
        <v>1601</v>
      </c>
      <c r="B1602" s="3" t="str">
        <f>HYPERLINK("https://www.kmpharma.in/product/31600","N-Nitroso Sumatriptan EP Impurity A")</f>
        <v>N-Nitroso Sumatriptan EP Impurity A</v>
      </c>
      <c r="C1602" s="3" t="str">
        <f>HYPERLINK("https://www.kmpharma.in/product/31600","KMS006004")</f>
        <v>KMS006004</v>
      </c>
      <c r="D1602" s="3" t="s">
        <v>7</v>
      </c>
      <c r="E1602" s="5" t="s">
        <v>323</v>
      </c>
    </row>
    <row r="1603" spans="1:5" x14ac:dyDescent="0.25">
      <c r="A1603" s="6">
        <v>1602</v>
      </c>
      <c r="B1603" s="6" t="str">
        <f>HYPERLINK("https://www.kmpharma.in/product/31599","N-Nitroso Sumatriptan EP Impurity B")</f>
        <v>N-Nitroso Sumatriptan EP Impurity B</v>
      </c>
      <c r="C1603" s="6" t="str">
        <f>HYPERLINK("https://www.kmpharma.in/product/31599","KMS006005")</f>
        <v>KMS006005</v>
      </c>
      <c r="D1603" s="6" t="s">
        <v>7</v>
      </c>
      <c r="E1603" s="6" t="s">
        <v>16</v>
      </c>
    </row>
    <row r="1604" spans="1:5" x14ac:dyDescent="0.25">
      <c r="A1604" s="3">
        <v>1603</v>
      </c>
      <c r="B1604" s="3" t="str">
        <f>HYPERLINK("https://www.kmpharma.in/product/31601","N-Nitroso Sumatriptan EP Impurity D")</f>
        <v>N-Nitroso Sumatriptan EP Impurity D</v>
      </c>
      <c r="C1604" s="3" t="str">
        <f>HYPERLINK("https://www.kmpharma.in/product/31601","KMS006006")</f>
        <v>KMS006006</v>
      </c>
      <c r="D1604" s="3" t="s">
        <v>7</v>
      </c>
      <c r="E1604" s="3" t="s">
        <v>16</v>
      </c>
    </row>
    <row r="1605" spans="1:5" x14ac:dyDescent="0.25">
      <c r="A1605" s="6">
        <v>1604</v>
      </c>
      <c r="B1605" s="6" t="str">
        <f>HYPERLINK("https://www.kmpharma.in/product/31602","N-Nitroso Sumatriptan EP Impurity E")</f>
        <v>N-Nitroso Sumatriptan EP Impurity E</v>
      </c>
      <c r="C1605" s="6" t="str">
        <f>HYPERLINK("https://www.kmpharma.in/product/31602","KMS006007")</f>
        <v>KMS006007</v>
      </c>
      <c r="D1605" s="6" t="s">
        <v>7</v>
      </c>
      <c r="E1605" s="6" t="s">
        <v>16</v>
      </c>
    </row>
    <row r="1606" spans="1:5" x14ac:dyDescent="0.25">
      <c r="A1606" s="3">
        <v>1605</v>
      </c>
      <c r="B1606" s="3" t="str">
        <f>HYPERLINK("https://www.kmpharma.in/product/31603","N-Nitroso Sumatriptan Impurity 3")</f>
        <v>N-Nitroso Sumatriptan Impurity 3</v>
      </c>
      <c r="C1606" s="3" t="str">
        <f>HYPERLINK("https://www.kmpharma.in/product/31603","KMS006008")</f>
        <v>KMS006008</v>
      </c>
      <c r="D1606" s="3" t="s">
        <v>7</v>
      </c>
      <c r="E1606" s="3" t="s">
        <v>16</v>
      </c>
    </row>
    <row r="1607" spans="1:5" x14ac:dyDescent="0.25">
      <c r="A1607" s="6">
        <v>1606</v>
      </c>
      <c r="B1607" s="6" t="str">
        <f>HYPERLINK("https://www.kmpharma.in/product/31649","N-Nitroso Sunitinib")</f>
        <v>N-Nitroso Sunitinib</v>
      </c>
      <c r="C1607" s="6" t="str">
        <f>HYPERLINK("https://www.kmpharma.in/product/31649","KMS011006")</f>
        <v>KMS011006</v>
      </c>
      <c r="D1607" s="6" t="s">
        <v>7</v>
      </c>
      <c r="E1607" s="7" t="s">
        <v>321</v>
      </c>
    </row>
    <row r="1608" spans="1:5" x14ac:dyDescent="0.25">
      <c r="A1608" s="3">
        <v>1607</v>
      </c>
      <c r="B1608" s="3" t="str">
        <f>HYPERLINK("https://www.kmpharma.in/product/31773","N-Nitroso Tadalafil")</f>
        <v>N-Nitroso Tadalafil</v>
      </c>
      <c r="C1608" s="3" t="str">
        <f>HYPERLINK("https://www.kmpharma.in/product/31773","KMT020004")</f>
        <v>KMT020004</v>
      </c>
      <c r="D1608" s="3" t="s">
        <v>7</v>
      </c>
      <c r="E1608" s="3" t="s">
        <v>16</v>
      </c>
    </row>
    <row r="1609" spans="1:5" x14ac:dyDescent="0.25">
      <c r="A1609" s="6">
        <v>1608</v>
      </c>
      <c r="B1609" s="6" t="str">
        <f>HYPERLINK("https://www.kmpharma.in/product/31776","N-Nitroso Tadalafil Acid Impurity")</f>
        <v>N-Nitroso Tadalafil Acid Impurity</v>
      </c>
      <c r="C1609" s="6" t="str">
        <f>HYPERLINK("https://www.kmpharma.in/product/31776","KMT020005")</f>
        <v>KMT020005</v>
      </c>
      <c r="D1609" s="6" t="s">
        <v>7</v>
      </c>
      <c r="E1609" s="7" t="s">
        <v>321</v>
      </c>
    </row>
    <row r="1610" spans="1:5" x14ac:dyDescent="0.25">
      <c r="A1610" s="3">
        <v>1609</v>
      </c>
      <c r="B1610" s="3" t="str">
        <f>HYPERLINK("https://www.kmpharma.in/product/31777","N-Nitroso Tadalafil Chloroacetyl Impurity")</f>
        <v>N-Nitroso Tadalafil Chloroacetyl Impurity</v>
      </c>
      <c r="C1610" s="3" t="str">
        <f>HYPERLINK("https://www.kmpharma.in/product/31777","KMT020006")</f>
        <v>KMT020006</v>
      </c>
      <c r="D1610" s="3" t="s">
        <v>7</v>
      </c>
      <c r="E1610" s="5" t="s">
        <v>321</v>
      </c>
    </row>
    <row r="1611" spans="1:5" x14ac:dyDescent="0.25">
      <c r="A1611" s="6">
        <v>1610</v>
      </c>
      <c r="B1611" s="6" t="str">
        <f>HYPERLINK("https://www.kmpharma.in/product/31809","N-Nitroso Tafenoquine")</f>
        <v>N-Nitroso Tafenoquine</v>
      </c>
      <c r="C1611" s="6" t="str">
        <f>HYPERLINK("https://www.kmpharma.in/product/31809","KMT030001")</f>
        <v>KMT030001</v>
      </c>
      <c r="D1611" s="6" t="s">
        <v>7</v>
      </c>
      <c r="E1611" s="7" t="s">
        <v>321</v>
      </c>
    </row>
    <row r="1612" spans="1:5" x14ac:dyDescent="0.25">
      <c r="A1612" s="3">
        <v>1611</v>
      </c>
      <c r="B1612" s="3" t="str">
        <f>HYPERLINK("https://www.kmpharma.in/product/31856","N-Nitroso Tamoxifen EP Impurity F")</f>
        <v>N-Nitroso Tamoxifen EP Impurity F</v>
      </c>
      <c r="C1612" s="3" t="str">
        <f>HYPERLINK("https://www.kmpharma.in/product/31856","KMT034006")</f>
        <v>KMT034006</v>
      </c>
      <c r="D1612" s="3" t="s">
        <v>7</v>
      </c>
      <c r="E1612" s="5" t="s">
        <v>321</v>
      </c>
    </row>
    <row r="1613" spans="1:5" x14ac:dyDescent="0.25">
      <c r="A1613" s="6">
        <v>1612</v>
      </c>
      <c r="B1613" s="6" t="str">
        <f>HYPERLINK("https://www.kmpharma.in/product/31851","N-Nitroso Tamoxifen EP Impurity F D3")</f>
        <v>N-Nitroso Tamoxifen EP Impurity F D3</v>
      </c>
      <c r="C1613" s="6" t="str">
        <f>HYPERLINK("https://www.kmpharma.in/product/31851","KMT034007")</f>
        <v>KMT034007</v>
      </c>
      <c r="D1613" s="6" t="s">
        <v>7</v>
      </c>
      <c r="E1613" s="7" t="s">
        <v>321</v>
      </c>
    </row>
    <row r="1614" spans="1:5" x14ac:dyDescent="0.25">
      <c r="A1614" s="3">
        <v>1613</v>
      </c>
      <c r="B1614" s="3" t="str">
        <f>HYPERLINK("https://www.kmpharma.in/product/31920","N-Nitroso Tamsulosin Impurity")</f>
        <v>N-Nitroso Tamsulosin Impurity</v>
      </c>
      <c r="C1614" s="3" t="str">
        <f>HYPERLINK("https://www.kmpharma.in/product/31920","KMT024006")</f>
        <v>KMT024006</v>
      </c>
      <c r="D1614" s="3" t="s">
        <v>200</v>
      </c>
      <c r="E1614" s="5" t="s">
        <v>321</v>
      </c>
    </row>
    <row r="1615" spans="1:5" x14ac:dyDescent="0.25">
      <c r="A1615" s="6">
        <v>1614</v>
      </c>
      <c r="B1615" s="6" t="str">
        <f>HYPERLINK("https://www.kmpharma.in/product/32005","N-Nitroso Taurolidine")</f>
        <v>N-Nitroso Taurolidine</v>
      </c>
      <c r="C1615" s="6" t="str">
        <f>HYPERLINK("https://www.kmpharma.in/product/32005","KMT044001")</f>
        <v>KMT044001</v>
      </c>
      <c r="D1615" s="6" t="s">
        <v>7</v>
      </c>
      <c r="E1615" s="7" t="s">
        <v>321</v>
      </c>
    </row>
    <row r="1616" spans="1:5" x14ac:dyDescent="0.25">
      <c r="A1616" s="3">
        <v>1615</v>
      </c>
      <c r="B1616" s="3" t="str">
        <f>HYPERLINK("https://www.kmpharma.in/product/32103","N-Nitroso Teduglutide")</f>
        <v>N-Nitroso Teduglutide</v>
      </c>
      <c r="C1616" s="3" t="str">
        <f>HYPERLINK("https://www.kmpharma.in/product/32103","KMT054004")</f>
        <v>KMT054004</v>
      </c>
      <c r="D1616" s="3" t="s">
        <v>7</v>
      </c>
      <c r="E1616" s="5" t="s">
        <v>321</v>
      </c>
    </row>
    <row r="1617" spans="1:5" x14ac:dyDescent="0.25">
      <c r="A1617" s="6">
        <v>1616</v>
      </c>
      <c r="B1617" s="6" t="str">
        <f>HYPERLINK("https://www.kmpharma.in/product/32167","N-Nitroso Telithromycin")</f>
        <v>N-Nitroso Telithromycin</v>
      </c>
      <c r="C1617" s="6" t="str">
        <f>HYPERLINK("https://www.kmpharma.in/product/32167","KMT063001")</f>
        <v>KMT063001</v>
      </c>
      <c r="D1617" s="6" t="s">
        <v>7</v>
      </c>
      <c r="E1617" s="7" t="s">
        <v>323</v>
      </c>
    </row>
    <row r="1618" spans="1:5" x14ac:dyDescent="0.25">
      <c r="A1618" s="3">
        <v>1617</v>
      </c>
      <c r="B1618" s="3" t="str">
        <f>HYPERLINK("https://www.kmpharma.in/product/32257","N-Nitroso Telmisartan EP Impurity A")</f>
        <v>N-Nitroso Telmisartan EP Impurity A</v>
      </c>
      <c r="C1618" s="3" t="str">
        <f>HYPERLINK("https://www.kmpharma.in/product/32257","KMT005008")</f>
        <v>KMT005008</v>
      </c>
      <c r="D1618" s="3" t="s">
        <v>7</v>
      </c>
      <c r="E1618" s="5" t="s">
        <v>323</v>
      </c>
    </row>
    <row r="1619" spans="1:5" x14ac:dyDescent="0.25">
      <c r="A1619" s="6">
        <v>1618</v>
      </c>
      <c r="B1619" s="6" t="str">
        <f>HYPERLINK("https://www.kmpharma.in/product/32300","N-Nitroso Temocapril")</f>
        <v>N-Nitroso Temocapril</v>
      </c>
      <c r="C1619" s="6" t="str">
        <f>HYPERLINK("https://www.kmpharma.in/product/32300","KMT065001")</f>
        <v>KMT065001</v>
      </c>
      <c r="D1619" s="6" t="s">
        <v>7</v>
      </c>
      <c r="E1619" s="7" t="s">
        <v>321</v>
      </c>
    </row>
    <row r="1620" spans="1:5" x14ac:dyDescent="0.25">
      <c r="A1620" s="3">
        <v>1619</v>
      </c>
      <c r="B1620" s="3" t="str">
        <f>HYPERLINK("https://www.kmpharma.in/product/32363","N-Nitroso Teneligliptin")</f>
        <v>N-Nitroso Teneligliptin</v>
      </c>
      <c r="C1620" s="3" t="str">
        <f>HYPERLINK("https://www.kmpharma.in/product/32363","KMT016002")</f>
        <v>KMT016002</v>
      </c>
      <c r="D1620" s="3" t="s">
        <v>7</v>
      </c>
      <c r="E1620" s="5" t="s">
        <v>321</v>
      </c>
    </row>
    <row r="1621" spans="1:5" x14ac:dyDescent="0.25">
      <c r="A1621" s="6">
        <v>1620</v>
      </c>
      <c r="B1621" s="6" t="str">
        <f>HYPERLINK("https://www.kmpharma.in/product/32364","N-Nitroso Teneligliptin Impurity A")</f>
        <v>N-Nitroso Teneligliptin Impurity A</v>
      </c>
      <c r="C1621" s="6" t="str">
        <f>HYPERLINK("https://www.kmpharma.in/product/32364","KMT016003")</f>
        <v>KMT016003</v>
      </c>
      <c r="D1621" s="6" t="s">
        <v>7</v>
      </c>
      <c r="E1621" s="7" t="s">
        <v>321</v>
      </c>
    </row>
    <row r="1622" spans="1:5" x14ac:dyDescent="0.25">
      <c r="A1622" s="3">
        <v>1621</v>
      </c>
      <c r="B1622" s="3" t="str">
        <f>HYPERLINK("https://www.kmpharma.in/product/32515","N-Nitroso Tenofovir Impurity 1")</f>
        <v>N-Nitroso Tenofovir Impurity 1</v>
      </c>
      <c r="C1622" s="3" t="str">
        <f>HYPERLINK("https://www.kmpharma.in/product/32515","KMT025024")</f>
        <v>KMT025024</v>
      </c>
      <c r="D1622" s="3" t="s">
        <v>7</v>
      </c>
      <c r="E1622" s="5" t="s">
        <v>321</v>
      </c>
    </row>
    <row r="1623" spans="1:5" x14ac:dyDescent="0.25">
      <c r="A1623" s="6">
        <v>1622</v>
      </c>
      <c r="B1623" s="6" t="str">
        <f>HYPERLINK("https://www.kmpharma.in/product/32516","N-Nitroso Tenofovir Impurity 2")</f>
        <v>N-Nitroso Tenofovir Impurity 2</v>
      </c>
      <c r="C1623" s="6" t="str">
        <f>HYPERLINK("https://www.kmpharma.in/product/32516","KMT025025")</f>
        <v>KMT025025</v>
      </c>
      <c r="D1623" s="6" t="s">
        <v>201</v>
      </c>
      <c r="E1623" s="7" t="s">
        <v>321</v>
      </c>
    </row>
    <row r="1624" spans="1:5" x14ac:dyDescent="0.25">
      <c r="A1624" s="3">
        <v>1623</v>
      </c>
      <c r="B1624" s="3" t="str">
        <f>HYPERLINK("https://www.kmpharma.in/product/32562","N-Nitroso Terazosin EP Impurity N")</f>
        <v>N-Nitroso Terazosin EP Impurity N</v>
      </c>
      <c r="C1624" s="3" t="str">
        <f>HYPERLINK("https://www.kmpharma.in/product/32562","KMT006001")</f>
        <v>KMT006001</v>
      </c>
      <c r="D1624" s="3" t="s">
        <v>202</v>
      </c>
      <c r="E1624" s="5" t="s">
        <v>321</v>
      </c>
    </row>
    <row r="1625" spans="1:5" x14ac:dyDescent="0.25">
      <c r="A1625" s="6">
        <v>1624</v>
      </c>
      <c r="B1625" s="6" t="str">
        <f>HYPERLINK("https://www.kmpharma.in/product/287","N-Nitroso Terbinafine EP Impurity A")</f>
        <v>N-Nitroso Terbinafine EP Impurity A</v>
      </c>
      <c r="C1625" s="6" t="str">
        <f>HYPERLINK("https://www.kmpharma.in/product/287","KMT023001")</f>
        <v>KMT023001</v>
      </c>
      <c r="D1625" s="6" t="s">
        <v>203</v>
      </c>
      <c r="E1625" s="7" t="s">
        <v>322</v>
      </c>
    </row>
    <row r="1626" spans="1:5" x14ac:dyDescent="0.25">
      <c r="A1626" s="3">
        <v>1625</v>
      </c>
      <c r="B1626" s="3" t="str">
        <f>HYPERLINK("https://www.kmpharma.in/product/34828","N-Nitroso Terbinafine EP Impurity A")</f>
        <v>N-Nitroso Terbinafine EP Impurity A</v>
      </c>
      <c r="C1626" s="3" t="str">
        <f>HYPERLINK("https://www.kmpharma.in/product/34828","KMT023004")</f>
        <v>KMT023004</v>
      </c>
      <c r="D1626" s="3" t="s">
        <v>203</v>
      </c>
      <c r="E1626" s="5" t="s">
        <v>321</v>
      </c>
    </row>
    <row r="1627" spans="1:5" x14ac:dyDescent="0.25">
      <c r="A1627" s="6">
        <v>1626</v>
      </c>
      <c r="B1627" s="6" t="str">
        <f>HYPERLINK("https://www.kmpharma.in/product/22963","N-Nitroso tertiary Butyl Methyl Amine")</f>
        <v>N-Nitroso tertiary Butyl Methyl Amine</v>
      </c>
      <c r="C1627" s="6" t="str">
        <f>HYPERLINK("https://www.kmpharma.in/product/22963","KMN084069")</f>
        <v>KMN084069</v>
      </c>
      <c r="D1627" s="6" t="s">
        <v>204</v>
      </c>
      <c r="E1627" s="7" t="s">
        <v>322</v>
      </c>
    </row>
    <row r="1628" spans="1:5" x14ac:dyDescent="0.25">
      <c r="A1628" s="3">
        <v>1627</v>
      </c>
      <c r="B1628" s="3" t="str">
        <f>HYPERLINK("https://www.kmpharma.in/product/32948","N-Nitroso Tetracaine")</f>
        <v>N-Nitroso Tetracaine</v>
      </c>
      <c r="C1628" s="3" t="str">
        <f>HYPERLINK("https://www.kmpharma.in/product/32948","KMT084003")</f>
        <v>KMT084003</v>
      </c>
      <c r="D1628" s="3" t="s">
        <v>7</v>
      </c>
      <c r="E1628" s="5" t="s">
        <v>321</v>
      </c>
    </row>
    <row r="1629" spans="1:5" x14ac:dyDescent="0.25">
      <c r="A1629" s="6">
        <v>1628</v>
      </c>
      <c r="B1629" s="6" t="str">
        <f>HYPERLINK("https://www.kmpharma.in/product/32949","N-Nitroso Tetracaine EP Impurity B")</f>
        <v>N-Nitroso Tetracaine EP Impurity B</v>
      </c>
      <c r="C1629" s="6" t="str">
        <f>HYPERLINK("https://www.kmpharma.in/product/32949","KMT084004")</f>
        <v>KMT084004</v>
      </c>
      <c r="D1629" s="6" t="s">
        <v>7</v>
      </c>
      <c r="E1629" s="7" t="s">
        <v>321</v>
      </c>
    </row>
    <row r="1630" spans="1:5" x14ac:dyDescent="0.25">
      <c r="A1630" s="3">
        <v>1629</v>
      </c>
      <c r="B1630" s="3" t="str">
        <f>HYPERLINK("https://www.kmpharma.in/product/32950","N-Nitroso Tetracaine EP Impurity C")</f>
        <v>N-Nitroso Tetracaine EP Impurity C</v>
      </c>
      <c r="C1630" s="3" t="str">
        <f>HYPERLINK("https://www.kmpharma.in/product/32950","KMT084005")</f>
        <v>KMT084005</v>
      </c>
      <c r="D1630" s="3" t="s">
        <v>7</v>
      </c>
      <c r="E1630" s="5" t="s">
        <v>321</v>
      </c>
    </row>
    <row r="1631" spans="1:5" x14ac:dyDescent="0.25">
      <c r="A1631" s="6">
        <v>1630</v>
      </c>
      <c r="B1631" s="6" t="str">
        <f>HYPERLINK("https://www.kmpharma.in/product/24867","N-Nitroso Tetrahydro Papaverine")</f>
        <v>N-Nitroso Tetrahydro Papaverine</v>
      </c>
      <c r="C1631" s="6" t="str">
        <f>HYPERLINK("https://www.kmpharma.in/product/24867","KMP042003")</f>
        <v>KMP042003</v>
      </c>
      <c r="D1631" s="6" t="s">
        <v>175</v>
      </c>
      <c r="E1631" s="7" t="s">
        <v>321</v>
      </c>
    </row>
    <row r="1632" spans="1:5" x14ac:dyDescent="0.25">
      <c r="A1632" s="3">
        <v>1631</v>
      </c>
      <c r="B1632" s="3" t="str">
        <f>HYPERLINK("https://www.kmpharma.in/product/33028","N-Nitroso Theophylline")</f>
        <v>N-Nitroso Theophylline</v>
      </c>
      <c r="C1632" s="3" t="str">
        <f>HYPERLINK("https://www.kmpharma.in/product/33028","KMT001009")</f>
        <v>KMT001009</v>
      </c>
      <c r="D1632" s="3" t="s">
        <v>7</v>
      </c>
      <c r="E1632" s="5" t="s">
        <v>321</v>
      </c>
    </row>
    <row r="1633" spans="1:5" x14ac:dyDescent="0.25">
      <c r="A1633" s="6">
        <v>1632</v>
      </c>
      <c r="B1633" s="6" t="str">
        <f>HYPERLINK("https://www.kmpharma.in/product/33027","N-Nitroso Theophylline EP Impurity C")</f>
        <v>N-Nitroso Theophylline EP Impurity C</v>
      </c>
      <c r="C1633" s="6" t="str">
        <f>HYPERLINK("https://www.kmpharma.in/product/33027","KMT001010")</f>
        <v>KMT001010</v>
      </c>
      <c r="D1633" s="6" t="s">
        <v>7</v>
      </c>
      <c r="E1633" s="7" t="s">
        <v>321</v>
      </c>
    </row>
    <row r="1634" spans="1:5" x14ac:dyDescent="0.25">
      <c r="A1634" s="3">
        <v>1633</v>
      </c>
      <c r="B1634" s="3" t="str">
        <f>HYPERLINK("https://www.kmpharma.in/product/112","N-Nitroso Theophylline EP Impurity D")</f>
        <v>N-Nitroso Theophylline EP Impurity D</v>
      </c>
      <c r="C1634" s="3" t="str">
        <f>HYPERLINK("https://www.kmpharma.in/product/112","KMT001001")</f>
        <v>KMT001001</v>
      </c>
      <c r="D1634" s="3" t="s">
        <v>35</v>
      </c>
      <c r="E1634" s="5" t="s">
        <v>321</v>
      </c>
    </row>
    <row r="1635" spans="1:5" x14ac:dyDescent="0.25">
      <c r="A1635" s="6">
        <v>1634</v>
      </c>
      <c r="B1635" s="6" t="str">
        <f>HYPERLINK("https://www.kmpharma.in/product/34830","N-Nitroso Theophylline EP Impurity D")</f>
        <v>N-Nitroso Theophylline EP Impurity D</v>
      </c>
      <c r="C1635" s="6" t="str">
        <f>HYPERLINK("https://www.kmpharma.in/product/34830","KMT001011")</f>
        <v>KMT001011</v>
      </c>
      <c r="D1635" s="6" t="s">
        <v>7</v>
      </c>
      <c r="E1635" s="7" t="s">
        <v>321</v>
      </c>
    </row>
    <row r="1636" spans="1:5" x14ac:dyDescent="0.25">
      <c r="A1636" s="3">
        <v>1635</v>
      </c>
      <c r="B1636" s="3" t="str">
        <f>HYPERLINK("https://www.kmpharma.in/product/33036","N-Nitroso Thiamazole")</f>
        <v>N-Nitroso Thiamazole</v>
      </c>
      <c r="C1636" s="3" t="str">
        <f>HYPERLINK("https://www.kmpharma.in/product/33036","KMT012002")</f>
        <v>KMT012002</v>
      </c>
      <c r="D1636" s="3" t="s">
        <v>7</v>
      </c>
      <c r="E1636" s="5" t="s">
        <v>321</v>
      </c>
    </row>
    <row r="1637" spans="1:5" x14ac:dyDescent="0.25">
      <c r="A1637" s="6">
        <v>1636</v>
      </c>
      <c r="B1637" s="6" t="str">
        <f>HYPERLINK("https://www.kmpharma.in/product/33037","N-Nitroso Thiamazole EP Impurity A")</f>
        <v>N-Nitroso Thiamazole EP Impurity A</v>
      </c>
      <c r="C1637" s="6" t="str">
        <f>HYPERLINK("https://www.kmpharma.in/product/33037","KMT012003")</f>
        <v>KMT012003</v>
      </c>
      <c r="D1637" s="6" t="s">
        <v>205</v>
      </c>
      <c r="E1637" s="7" t="s">
        <v>323</v>
      </c>
    </row>
    <row r="1638" spans="1:5" x14ac:dyDescent="0.25">
      <c r="A1638" s="3">
        <v>1637</v>
      </c>
      <c r="B1638" s="3" t="str">
        <f>HYPERLINK("https://www.kmpharma.in/product/16691","N-Nitroso Thiazolidine-4-Carboxylic Acid")</f>
        <v>N-Nitroso Thiazolidine-4-Carboxylic Acid</v>
      </c>
      <c r="C1638" s="3" t="str">
        <f>HYPERLINK("https://www.kmpharma.in/product/16691","KMI001047")</f>
        <v>KMI001047</v>
      </c>
      <c r="D1638" s="3" t="s">
        <v>206</v>
      </c>
      <c r="E1638" s="5" t="s">
        <v>323</v>
      </c>
    </row>
    <row r="1639" spans="1:5" x14ac:dyDescent="0.25">
      <c r="A1639" s="6">
        <v>1638</v>
      </c>
      <c r="B1639" s="6" t="str">
        <f>HYPERLINK("https://www.kmpharma.in/product/33131","N-Nitroso Thioguanine")</f>
        <v>N-Nitroso Thioguanine</v>
      </c>
      <c r="C1639" s="6" t="str">
        <f>HYPERLINK("https://www.kmpharma.in/product/33131","KMT100001")</f>
        <v>KMT100001</v>
      </c>
      <c r="D1639" s="6" t="s">
        <v>7</v>
      </c>
      <c r="E1639" s="6" t="s">
        <v>16</v>
      </c>
    </row>
    <row r="1640" spans="1:5" x14ac:dyDescent="0.25">
      <c r="A1640" s="3">
        <v>1639</v>
      </c>
      <c r="B1640" s="3" t="str">
        <f>HYPERLINK("https://www.kmpharma.in/product/33143","N-Nitroso Thioridazine EP Impurity F")</f>
        <v>N-Nitroso Thioridazine EP Impurity F</v>
      </c>
      <c r="C1640" s="3" t="str">
        <f>HYPERLINK("https://www.kmpharma.in/product/33143","KMT102001")</f>
        <v>KMT102001</v>
      </c>
      <c r="D1640" s="3" t="s">
        <v>7</v>
      </c>
      <c r="E1640" s="3" t="s">
        <v>16</v>
      </c>
    </row>
    <row r="1641" spans="1:5" x14ac:dyDescent="0.25">
      <c r="A1641" s="6">
        <v>1640</v>
      </c>
      <c r="B1641" s="6" t="str">
        <f>HYPERLINK("https://www.kmpharma.in/product/33162","N-Nitroso Thonzylamine")</f>
        <v>N-Nitroso Thonzylamine</v>
      </c>
      <c r="C1641" s="6" t="str">
        <f>HYPERLINK("https://www.kmpharma.in/product/33162","KMT106001")</f>
        <v>KMT106001</v>
      </c>
      <c r="D1641" s="6" t="s">
        <v>7</v>
      </c>
      <c r="E1641" s="6" t="s">
        <v>16</v>
      </c>
    </row>
    <row r="1642" spans="1:5" x14ac:dyDescent="0.25">
      <c r="A1642" s="3">
        <v>1641</v>
      </c>
      <c r="B1642" s="3" t="str">
        <f>HYPERLINK("https://www.kmpharma.in/product/33223","N-Nitroso Tianeptine")</f>
        <v>N-Nitroso Tianeptine</v>
      </c>
      <c r="C1642" s="3" t="str">
        <f>HYPERLINK("https://www.kmpharma.in/product/33223","KMT111001")</f>
        <v>KMT111001</v>
      </c>
      <c r="D1642" s="3" t="s">
        <v>7</v>
      </c>
      <c r="E1642" s="5" t="s">
        <v>321</v>
      </c>
    </row>
    <row r="1643" spans="1:5" x14ac:dyDescent="0.25">
      <c r="A1643" s="6">
        <v>1642</v>
      </c>
      <c r="B1643" s="6" t="str">
        <f>HYPERLINK("https://www.kmpharma.in/product/33499","N-Nitroso Ticagrelor")</f>
        <v>N-Nitroso Ticagrelor</v>
      </c>
      <c r="C1643" s="6" t="str">
        <f>HYPERLINK("https://www.kmpharma.in/product/33499","KMT004013")</f>
        <v>KMT004013</v>
      </c>
      <c r="D1643" s="6" t="s">
        <v>7</v>
      </c>
      <c r="E1643" s="7" t="s">
        <v>321</v>
      </c>
    </row>
    <row r="1644" spans="1:5" x14ac:dyDescent="0.25">
      <c r="A1644" s="3">
        <v>1643</v>
      </c>
      <c r="B1644" s="3" t="str">
        <f>HYPERLINK("https://www.kmpharma.in/product/33500","N-Nitroso Ticagrelor EP Impurity B")</f>
        <v>N-Nitroso Ticagrelor EP Impurity B</v>
      </c>
      <c r="C1644" s="3" t="str">
        <f>HYPERLINK("https://www.kmpharma.in/product/33500","KMT004014")</f>
        <v>KMT004014</v>
      </c>
      <c r="D1644" s="3" t="s">
        <v>7</v>
      </c>
      <c r="E1644" s="5" t="s">
        <v>321</v>
      </c>
    </row>
    <row r="1645" spans="1:5" x14ac:dyDescent="0.25">
      <c r="A1645" s="6">
        <v>1644</v>
      </c>
      <c r="B1645" s="6" t="str">
        <f>HYPERLINK("https://www.kmpharma.in/product/33512","N-Nitroso Ticagrelor EP Impurity C")</f>
        <v>N-Nitroso Ticagrelor EP Impurity C</v>
      </c>
      <c r="C1645" s="6" t="str">
        <f>HYPERLINK("https://www.kmpharma.in/product/33512","KMT004015")</f>
        <v>KMT004015</v>
      </c>
      <c r="D1645" s="6" t="s">
        <v>7</v>
      </c>
      <c r="E1645" s="7" t="s">
        <v>321</v>
      </c>
    </row>
    <row r="1646" spans="1:5" x14ac:dyDescent="0.25">
      <c r="A1646" s="3">
        <v>1645</v>
      </c>
      <c r="B1646" s="3" t="str">
        <f>HYPERLINK("https://www.kmpharma.in/product/33317","N-Nitroso Ticagrelor EP Impurity D")</f>
        <v>N-Nitroso Ticagrelor EP Impurity D</v>
      </c>
      <c r="C1646" s="3" t="str">
        <f>HYPERLINK("https://www.kmpharma.in/product/33317","KMT004016")</f>
        <v>KMT004016</v>
      </c>
      <c r="D1646" s="3" t="s">
        <v>7</v>
      </c>
      <c r="E1646" s="5" t="s">
        <v>321</v>
      </c>
    </row>
    <row r="1647" spans="1:5" x14ac:dyDescent="0.25">
      <c r="A1647" s="6">
        <v>1646</v>
      </c>
      <c r="B1647" s="6" t="str">
        <f>HYPERLINK("https://www.kmpharma.in/product/33561","N-Nitroso Tigecycline")</f>
        <v>N-Nitroso Tigecycline</v>
      </c>
      <c r="C1647" s="6" t="str">
        <f>HYPERLINK("https://www.kmpharma.in/product/33561","KMT115004")</f>
        <v>KMT115004</v>
      </c>
      <c r="D1647" s="6" t="s">
        <v>7</v>
      </c>
      <c r="E1647" s="7" t="s">
        <v>321</v>
      </c>
    </row>
    <row r="1648" spans="1:5" x14ac:dyDescent="0.25">
      <c r="A1648" s="3">
        <v>1647</v>
      </c>
      <c r="B1648" s="3" t="str">
        <f>HYPERLINK("https://www.kmpharma.in/product/33604","N-Nitroso Timolol")</f>
        <v>N-Nitroso Timolol</v>
      </c>
      <c r="C1648" s="3" t="str">
        <f>HYPERLINK("https://www.kmpharma.in/product/33604","KMT120003")</f>
        <v>KMT120003</v>
      </c>
      <c r="D1648" s="3" t="s">
        <v>7</v>
      </c>
      <c r="E1648" s="5" t="s">
        <v>321</v>
      </c>
    </row>
    <row r="1649" spans="1:5" x14ac:dyDescent="0.25">
      <c r="A1649" s="6">
        <v>1648</v>
      </c>
      <c r="B1649" s="6" t="str">
        <f>HYPERLINK("https://www.kmpharma.in/product/33605","N-Nitroso Timolol EP Impurity A")</f>
        <v>N-Nitroso Timolol EP Impurity A</v>
      </c>
      <c r="C1649" s="6" t="str">
        <f>HYPERLINK("https://www.kmpharma.in/product/33605","KMT120004")</f>
        <v>KMT120004</v>
      </c>
      <c r="D1649" s="6" t="s">
        <v>7</v>
      </c>
      <c r="E1649" s="7" t="s">
        <v>321</v>
      </c>
    </row>
    <row r="1650" spans="1:5" x14ac:dyDescent="0.25">
      <c r="A1650" s="3">
        <v>1649</v>
      </c>
      <c r="B1650" s="3" t="str">
        <f>HYPERLINK("https://www.kmpharma.in/product/33606","N-Nitroso Timolol EP Impurity B")</f>
        <v>N-Nitroso Timolol EP Impurity B</v>
      </c>
      <c r="C1650" s="3" t="str">
        <f>HYPERLINK("https://www.kmpharma.in/product/33606","KMT120005")</f>
        <v>KMT120005</v>
      </c>
      <c r="D1650" s="3" t="s">
        <v>7</v>
      </c>
      <c r="E1650" s="5" t="s">
        <v>323</v>
      </c>
    </row>
    <row r="1651" spans="1:5" x14ac:dyDescent="0.25">
      <c r="A1651" s="6">
        <v>1650</v>
      </c>
      <c r="B1651" s="6" t="str">
        <f>HYPERLINK("https://www.kmpharma.in/product/33607","N-Nitroso Timolol EP Impurity C")</f>
        <v>N-Nitroso Timolol EP Impurity C</v>
      </c>
      <c r="C1651" s="6" t="str">
        <f>HYPERLINK("https://www.kmpharma.in/product/33607","KMT120006")</f>
        <v>KMT120006</v>
      </c>
      <c r="D1651" s="6" t="s">
        <v>7</v>
      </c>
      <c r="E1651" s="7" t="s">
        <v>321</v>
      </c>
    </row>
    <row r="1652" spans="1:5" x14ac:dyDescent="0.25">
      <c r="A1652" s="3">
        <v>1651</v>
      </c>
      <c r="B1652" s="3" t="str">
        <f>HYPERLINK("https://www.kmpharma.in/product/33608","N-Nitroso Timolol EP Impurity E")</f>
        <v>N-Nitroso Timolol EP Impurity E</v>
      </c>
      <c r="C1652" s="3" t="str">
        <f>HYPERLINK("https://www.kmpharma.in/product/33608","KMT120007")</f>
        <v>KMT120007</v>
      </c>
      <c r="D1652" s="3" t="s">
        <v>7</v>
      </c>
      <c r="E1652" s="5" t="s">
        <v>321</v>
      </c>
    </row>
    <row r="1653" spans="1:5" x14ac:dyDescent="0.25">
      <c r="A1653" s="6">
        <v>1652</v>
      </c>
      <c r="B1653" s="6" t="str">
        <f>HYPERLINK("https://www.kmpharma.in/product/33609","N-Nitroso Timolol Impurity 1")</f>
        <v>N-Nitroso Timolol Impurity 1</v>
      </c>
      <c r="C1653" s="6" t="str">
        <f>HYPERLINK("https://www.kmpharma.in/product/33609","KMT120008")</f>
        <v>KMT120008</v>
      </c>
      <c r="D1653" s="6" t="s">
        <v>7</v>
      </c>
      <c r="E1653" s="7" t="s">
        <v>323</v>
      </c>
    </row>
    <row r="1654" spans="1:5" x14ac:dyDescent="0.25">
      <c r="A1654" s="3">
        <v>1653</v>
      </c>
      <c r="B1654" s="3" t="str">
        <f>HYPERLINK("https://www.kmpharma.in/product/33610","N-Nitroso Timolol Impurity 2")</f>
        <v>N-Nitroso Timolol Impurity 2</v>
      </c>
      <c r="C1654" s="3" t="str">
        <f>HYPERLINK("https://www.kmpharma.in/product/33610","KMT120009")</f>
        <v>KMT120009</v>
      </c>
      <c r="D1654" s="3" t="s">
        <v>207</v>
      </c>
      <c r="E1654" s="5" t="s">
        <v>321</v>
      </c>
    </row>
    <row r="1655" spans="1:5" x14ac:dyDescent="0.25">
      <c r="A1655" s="6">
        <v>1654</v>
      </c>
      <c r="B1655" s="6" t="str">
        <f>HYPERLINK("https://www.kmpharma.in/product/33683","N-Nitroso Tirofiban")</f>
        <v>N-Nitroso Tirofiban</v>
      </c>
      <c r="C1655" s="6" t="str">
        <f>HYPERLINK("https://www.kmpharma.in/product/33683","KMT129002")</f>
        <v>KMT129002</v>
      </c>
      <c r="D1655" s="6" t="s">
        <v>7</v>
      </c>
      <c r="E1655" s="7" t="s">
        <v>321</v>
      </c>
    </row>
    <row r="1656" spans="1:5" x14ac:dyDescent="0.25">
      <c r="A1656" s="3">
        <v>1655</v>
      </c>
      <c r="B1656" s="3" t="str">
        <f>HYPERLINK("https://www.kmpharma.in/product/33795","N-Nitroso Tizanidine USP Related Compound B")</f>
        <v>N-Nitroso Tizanidine USP Related Compound B</v>
      </c>
      <c r="C1656" s="3" t="str">
        <f>HYPERLINK("https://www.kmpharma.in/product/33795","KMT013003")</f>
        <v>KMT013003</v>
      </c>
      <c r="D1656" s="3" t="s">
        <v>7</v>
      </c>
      <c r="E1656" s="5" t="s">
        <v>321</v>
      </c>
    </row>
    <row r="1657" spans="1:5" x14ac:dyDescent="0.25">
      <c r="A1657" s="6">
        <v>1656</v>
      </c>
      <c r="B1657" s="6" t="str">
        <f>HYPERLINK("https://www.kmpharma.in/product/33791","N-Nitroso Tizanidine USP Related Compound C")</f>
        <v>N-Nitroso Tizanidine USP Related Compound C</v>
      </c>
      <c r="C1657" s="6" t="str">
        <f>HYPERLINK("https://www.kmpharma.in/product/33791","KMT013004")</f>
        <v>KMT013004</v>
      </c>
      <c r="D1657" s="6" t="s">
        <v>7</v>
      </c>
      <c r="E1657" s="7" t="s">
        <v>321</v>
      </c>
    </row>
    <row r="1658" spans="1:5" x14ac:dyDescent="0.25">
      <c r="A1658" s="3">
        <v>1657</v>
      </c>
      <c r="B1658" s="3" t="str">
        <f>HYPERLINK("https://www.kmpharma.in/product/23644","N-Nitroso TMB Olmesartan Impurity")</f>
        <v>N-Nitroso TMB Olmesartan Impurity</v>
      </c>
      <c r="C1658" s="3" t="str">
        <f>HYPERLINK("https://www.kmpharma.in/product/23644","KMO006005")</f>
        <v>KMO006005</v>
      </c>
      <c r="D1658" s="3" t="s">
        <v>7</v>
      </c>
      <c r="E1658" s="5" t="s">
        <v>321</v>
      </c>
    </row>
    <row r="1659" spans="1:5" x14ac:dyDescent="0.25">
      <c r="A1659" s="6">
        <v>1658</v>
      </c>
      <c r="B1659" s="6" t="str">
        <f>HYPERLINK("https://www.kmpharma.in/product/33946","N-Nitroso Tofacitinib Impurity")</f>
        <v>N-Nitroso Tofacitinib Impurity</v>
      </c>
      <c r="C1659" s="6" t="str">
        <f>HYPERLINK("https://www.kmpharma.in/product/33946","KMT136011")</f>
        <v>KMT136011</v>
      </c>
      <c r="D1659" s="6" t="s">
        <v>7</v>
      </c>
      <c r="E1659" s="7" t="s">
        <v>321</v>
      </c>
    </row>
    <row r="1660" spans="1:5" x14ac:dyDescent="0.25">
      <c r="A1660" s="3">
        <v>1659</v>
      </c>
      <c r="B1660" s="3" t="str">
        <f>HYPERLINK("https://www.kmpharma.in/product/33955","N-Nitroso Tofacitinib Impurity 2")</f>
        <v>N-Nitroso Tofacitinib Impurity 2</v>
      </c>
      <c r="C1660" s="3" t="str">
        <f>HYPERLINK("https://www.kmpharma.in/product/33955","KMT136012")</f>
        <v>KMT136012</v>
      </c>
      <c r="D1660" s="3" t="s">
        <v>7</v>
      </c>
      <c r="E1660" s="3" t="s">
        <v>16</v>
      </c>
    </row>
    <row r="1661" spans="1:5" x14ac:dyDescent="0.25">
      <c r="A1661" s="6">
        <v>1660</v>
      </c>
      <c r="B1661" s="6" t="str">
        <f>HYPERLINK("https://www.kmpharma.in/product/33947","N-Nitroso Tofacitinib Impurity 5")</f>
        <v>N-Nitroso Tofacitinib Impurity 5</v>
      </c>
      <c r="C1661" s="6" t="str">
        <f>HYPERLINK("https://www.kmpharma.in/product/33947","KMT136013")</f>
        <v>KMT136013</v>
      </c>
      <c r="D1661" s="6" t="s">
        <v>7</v>
      </c>
      <c r="E1661" s="7" t="s">
        <v>321</v>
      </c>
    </row>
    <row r="1662" spans="1:5" x14ac:dyDescent="0.25">
      <c r="A1662" s="3">
        <v>1661</v>
      </c>
      <c r="B1662" s="3" t="str">
        <f>HYPERLINK("https://www.kmpharma.in/product/33949","N-Nitroso Tofacitinib Impurity 6")</f>
        <v>N-Nitroso Tofacitinib Impurity 6</v>
      </c>
      <c r="C1662" s="3" t="str">
        <f>HYPERLINK("https://www.kmpharma.in/product/33949","KMT136014")</f>
        <v>KMT136014</v>
      </c>
      <c r="D1662" s="3" t="s">
        <v>7</v>
      </c>
      <c r="E1662" s="5" t="s">
        <v>321</v>
      </c>
    </row>
    <row r="1663" spans="1:5" x14ac:dyDescent="0.25">
      <c r="A1663" s="6">
        <v>1662</v>
      </c>
      <c r="B1663" s="6" t="str">
        <f>HYPERLINK("https://www.kmpharma.in/product/33950","N-Nitroso Tofacitinib Impurity 7")</f>
        <v>N-Nitroso Tofacitinib Impurity 7</v>
      </c>
      <c r="C1663" s="6" t="str">
        <f>HYPERLINK("https://www.kmpharma.in/product/33950","KMT136015")</f>
        <v>KMT136015</v>
      </c>
      <c r="D1663" s="6" t="s">
        <v>7</v>
      </c>
      <c r="E1663" s="7" t="s">
        <v>321</v>
      </c>
    </row>
    <row r="1664" spans="1:5" x14ac:dyDescent="0.25">
      <c r="A1664" s="3">
        <v>1663</v>
      </c>
      <c r="B1664" s="3" t="str">
        <f>HYPERLINK("https://www.kmpharma.in/product/33951","N-Nitroso Tofacitinib Impurity 8")</f>
        <v>N-Nitroso Tofacitinib Impurity 8</v>
      </c>
      <c r="C1664" s="3" t="str">
        <f>HYPERLINK("https://www.kmpharma.in/product/33951","KMT136016")</f>
        <v>KMT136016</v>
      </c>
      <c r="D1664" s="3" t="s">
        <v>7</v>
      </c>
      <c r="E1664" s="5" t="s">
        <v>321</v>
      </c>
    </row>
    <row r="1665" spans="1:5" x14ac:dyDescent="0.25">
      <c r="A1665" s="6">
        <v>1664</v>
      </c>
      <c r="B1665" s="6" t="str">
        <f>HYPERLINK("https://www.kmpharma.in/product/33952","N-Nitroso Tofacitinib Impurity 9")</f>
        <v>N-Nitroso Tofacitinib Impurity 9</v>
      </c>
      <c r="C1665" s="6" t="str">
        <f>HYPERLINK("https://www.kmpharma.in/product/33952","KMT136017")</f>
        <v>KMT136017</v>
      </c>
      <c r="D1665" s="6" t="s">
        <v>7</v>
      </c>
      <c r="E1665" s="7" t="s">
        <v>323</v>
      </c>
    </row>
    <row r="1666" spans="1:5" x14ac:dyDescent="0.25">
      <c r="A1666" s="3">
        <v>1665</v>
      </c>
      <c r="B1666" s="3" t="str">
        <f>HYPERLINK("https://www.kmpharma.in/product/34168","N-Nitroso Torasemide")</f>
        <v>N-Nitroso Torasemide</v>
      </c>
      <c r="C1666" s="3" t="str">
        <f>HYPERLINK("https://www.kmpharma.in/product/34168","KMT026004")</f>
        <v>KMT026004</v>
      </c>
      <c r="D1666" s="3" t="s">
        <v>7</v>
      </c>
      <c r="E1666" s="5" t="s">
        <v>321</v>
      </c>
    </row>
    <row r="1667" spans="1:5" x14ac:dyDescent="0.25">
      <c r="A1667" s="6">
        <v>1666</v>
      </c>
      <c r="B1667" s="6" t="str">
        <f>HYPERLINK("https://www.kmpharma.in/product/34169","N-Nitroso Torasemide EP Impurity B")</f>
        <v>N-Nitroso Torasemide EP Impurity B</v>
      </c>
      <c r="C1667" s="6" t="str">
        <f>HYPERLINK("https://www.kmpharma.in/product/34169","KMT026005")</f>
        <v>KMT026005</v>
      </c>
      <c r="D1667" s="6" t="s">
        <v>7</v>
      </c>
      <c r="E1667" s="7" t="s">
        <v>321</v>
      </c>
    </row>
    <row r="1668" spans="1:5" x14ac:dyDescent="0.25">
      <c r="A1668" s="3">
        <v>1667</v>
      </c>
      <c r="B1668" s="3" t="str">
        <f>HYPERLINK("https://www.kmpharma.in/product/34165","N-Nitroso Torasemide EP Impurity C")</f>
        <v>N-Nitroso Torasemide EP Impurity C</v>
      </c>
      <c r="C1668" s="3" t="str">
        <f>HYPERLINK("https://www.kmpharma.in/product/34165","KMT026006")</f>
        <v>KMT026006</v>
      </c>
      <c r="D1668" s="3" t="s">
        <v>7</v>
      </c>
      <c r="E1668" s="5" t="s">
        <v>323</v>
      </c>
    </row>
    <row r="1669" spans="1:5" x14ac:dyDescent="0.25">
      <c r="A1669" s="6">
        <v>1668</v>
      </c>
      <c r="B1669" s="6" t="str">
        <f>HYPERLINK("https://www.kmpharma.in/product/34166","N-Nitroso Torasemide EP Impurity D")</f>
        <v>N-Nitroso Torasemide EP Impurity D</v>
      </c>
      <c r="C1669" s="6" t="str">
        <f>HYPERLINK("https://www.kmpharma.in/product/34166","KMT026007")</f>
        <v>KMT026007</v>
      </c>
      <c r="D1669" s="6" t="s">
        <v>7</v>
      </c>
      <c r="E1669" s="6" t="s">
        <v>16</v>
      </c>
    </row>
    <row r="1670" spans="1:5" x14ac:dyDescent="0.25">
      <c r="A1670" s="3">
        <v>1669</v>
      </c>
      <c r="B1670" s="3" t="str">
        <f>HYPERLINK("https://www.kmpharma.in/product/34167","N-Nitroso Torasemide EP Impurity E")</f>
        <v>N-Nitroso Torasemide EP Impurity E</v>
      </c>
      <c r="C1670" s="3" t="str">
        <f>HYPERLINK("https://www.kmpharma.in/product/34167","KMT026008")</f>
        <v>KMT026008</v>
      </c>
      <c r="D1670" s="3" t="s">
        <v>7</v>
      </c>
      <c r="E1670" s="5" t="s">
        <v>321</v>
      </c>
    </row>
    <row r="1671" spans="1:5" x14ac:dyDescent="0.25">
      <c r="A1671" s="6">
        <v>1670</v>
      </c>
      <c r="B1671" s="6" t="str">
        <f>HYPERLINK("https://www.kmpharma.in/product/141","N-Nitroso Tranexamic Acid EP Impurity A")</f>
        <v>N-Nitroso Tranexamic Acid EP Impurity A</v>
      </c>
      <c r="C1671" s="6" t="str">
        <f>HYPERLINK("https://www.kmpharma.in/product/141","KMT002001")</f>
        <v>KMT002001</v>
      </c>
      <c r="D1671" s="6" t="s">
        <v>35</v>
      </c>
      <c r="E1671" s="7" t="s">
        <v>321</v>
      </c>
    </row>
    <row r="1672" spans="1:5" x14ac:dyDescent="0.25">
      <c r="A1672" s="3">
        <v>1671</v>
      </c>
      <c r="B1672" s="3" t="str">
        <f>HYPERLINK("https://www.kmpharma.in/product/34834","N-Nitroso Tranexamic Acid EP Impurity A")</f>
        <v>N-Nitroso Tranexamic Acid EP Impurity A</v>
      </c>
      <c r="C1672" s="3" t="str">
        <f>HYPERLINK("https://www.kmpharma.in/product/34834","KMT002002")</f>
        <v>KMT002002</v>
      </c>
      <c r="D1672" s="3" t="s">
        <v>7</v>
      </c>
      <c r="E1672" s="5" t="s">
        <v>321</v>
      </c>
    </row>
    <row r="1673" spans="1:5" x14ac:dyDescent="0.25">
      <c r="A1673" s="6">
        <v>1672</v>
      </c>
      <c r="B1673" s="6" t="str">
        <f>HYPERLINK("https://www.kmpharma.in/product/34345","N-Nitroso Trazodone Impurity")</f>
        <v>N-Nitroso Trazodone Impurity</v>
      </c>
      <c r="C1673" s="6" t="str">
        <f>HYPERLINK("https://www.kmpharma.in/product/34345","KMT017005")</f>
        <v>KMT017005</v>
      </c>
      <c r="D1673" s="6" t="s">
        <v>7</v>
      </c>
      <c r="E1673" s="7" t="s">
        <v>321</v>
      </c>
    </row>
    <row r="1674" spans="1:5" x14ac:dyDescent="0.25">
      <c r="A1674" s="3">
        <v>1673</v>
      </c>
      <c r="B1674" s="3" t="str">
        <f>HYPERLINK("https://www.kmpharma.in/product/34343","N-Nitroso Trazodone Impurity 1")</f>
        <v>N-Nitroso Trazodone Impurity 1</v>
      </c>
      <c r="C1674" s="3" t="str">
        <f>HYPERLINK("https://www.kmpharma.in/product/34343","KMT017006")</f>
        <v>KMT017006</v>
      </c>
      <c r="D1674" s="3" t="s">
        <v>208</v>
      </c>
      <c r="E1674" s="5" t="s">
        <v>321</v>
      </c>
    </row>
    <row r="1675" spans="1:5" x14ac:dyDescent="0.25">
      <c r="A1675" s="6">
        <v>1674</v>
      </c>
      <c r="B1675" s="6" t="str">
        <f>HYPERLINK("https://www.kmpharma.in/product/34344","N-Nitroso Trazodone Impurity 2")</f>
        <v>N-Nitroso Trazodone Impurity 2</v>
      </c>
      <c r="C1675" s="6" t="str">
        <f>HYPERLINK("https://www.kmpharma.in/product/34344","KMT017007")</f>
        <v>KMT017007</v>
      </c>
      <c r="D1675" s="6" t="s">
        <v>7</v>
      </c>
      <c r="E1675" s="7" t="s">
        <v>321</v>
      </c>
    </row>
    <row r="1676" spans="1:5" x14ac:dyDescent="0.25">
      <c r="A1676" s="3">
        <v>1675</v>
      </c>
      <c r="B1676" s="3" t="str">
        <f>HYPERLINK("https://www.kmpharma.in/product/34448","N-Nitroso Trichlormethiazide")</f>
        <v>N-Nitroso Trichlormethiazide</v>
      </c>
      <c r="C1676" s="3" t="str">
        <f>HYPERLINK("https://www.kmpharma.in/product/34448","KMT171001")</f>
        <v>KMT171001</v>
      </c>
      <c r="D1676" s="3" t="s">
        <v>7</v>
      </c>
      <c r="E1676" s="5" t="s">
        <v>321</v>
      </c>
    </row>
    <row r="1677" spans="1:5" x14ac:dyDescent="0.25">
      <c r="A1677" s="6">
        <v>1676</v>
      </c>
      <c r="B1677" s="6" t="str">
        <f>HYPERLINK("https://www.kmpharma.in/product/34562","N-Nitroso Trilaciclib")</f>
        <v>N-Nitroso Trilaciclib</v>
      </c>
      <c r="C1677" s="6" t="str">
        <f>HYPERLINK("https://www.kmpharma.in/product/34562","KMT186003")</f>
        <v>KMT186003</v>
      </c>
      <c r="D1677" s="6" t="s">
        <v>7</v>
      </c>
      <c r="E1677" s="7" t="s">
        <v>321</v>
      </c>
    </row>
    <row r="1678" spans="1:5" x14ac:dyDescent="0.25">
      <c r="A1678" s="3">
        <v>1677</v>
      </c>
      <c r="B1678" s="3" t="str">
        <f>HYPERLINK("https://www.kmpharma.in/product/34591","N-Nitroso Trimebutine EP Impurity E")</f>
        <v>N-Nitroso Trimebutine EP Impurity E</v>
      </c>
      <c r="C1678" s="3" t="str">
        <f>HYPERLINK("https://www.kmpharma.in/product/34591","KMT188001")</f>
        <v>KMT188001</v>
      </c>
      <c r="D1678" s="3" t="s">
        <v>7</v>
      </c>
      <c r="E1678" s="5" t="s">
        <v>321</v>
      </c>
    </row>
    <row r="1679" spans="1:5" x14ac:dyDescent="0.25">
      <c r="A1679" s="6">
        <v>1678</v>
      </c>
      <c r="B1679" s="6" t="str">
        <f>HYPERLINK("https://www.kmpharma.in/product/34617","N-Nitroso Trimetazidine")</f>
        <v>N-Nitroso Trimetazidine</v>
      </c>
      <c r="C1679" s="6" t="str">
        <f>HYPERLINK("https://www.kmpharma.in/product/34617","KMT189003")</f>
        <v>KMT189003</v>
      </c>
      <c r="D1679" s="6" t="s">
        <v>7</v>
      </c>
      <c r="E1679" s="7" t="s">
        <v>321</v>
      </c>
    </row>
    <row r="1680" spans="1:5" x14ac:dyDescent="0.25">
      <c r="A1680" s="3">
        <v>1679</v>
      </c>
      <c r="B1680" s="3" t="str">
        <f>HYPERLINK("https://www.kmpharma.in/product/34613","N-Nitroso Trimetazidine EP Impurity G D8")</f>
        <v>N-Nitroso Trimetazidine EP Impurity G D8</v>
      </c>
      <c r="C1680" s="3" t="str">
        <f>HYPERLINK("https://www.kmpharma.in/product/34613","KMT189004")</f>
        <v>KMT189004</v>
      </c>
      <c r="D1680" s="3" t="s">
        <v>209</v>
      </c>
      <c r="E1680" s="5" t="s">
        <v>321</v>
      </c>
    </row>
    <row r="1681" spans="1:5" x14ac:dyDescent="0.25">
      <c r="A1681" s="6">
        <v>1680</v>
      </c>
      <c r="B1681" s="6" t="str">
        <f>HYPERLINK("https://www.kmpharma.in/product/34614","N-Nitroso Trimetazidine-D8")</f>
        <v>N-Nitroso Trimetazidine-D8</v>
      </c>
      <c r="C1681" s="6" t="str">
        <f>HYPERLINK("https://www.kmpharma.in/product/34614","KMT189005")</f>
        <v>KMT189005</v>
      </c>
      <c r="D1681" s="6" t="s">
        <v>7</v>
      </c>
      <c r="E1681" s="7" t="s">
        <v>323</v>
      </c>
    </row>
    <row r="1682" spans="1:5" x14ac:dyDescent="0.25">
      <c r="A1682" s="3">
        <v>1681</v>
      </c>
      <c r="B1682" s="3" t="str">
        <f>HYPERLINK("https://www.kmpharma.in/product/34615","N-Nitroso Trimetazidine-D9 HCl")</f>
        <v>N-Nitroso Trimetazidine-D9 HCl</v>
      </c>
      <c r="C1682" s="3" t="str">
        <f>HYPERLINK("https://www.kmpharma.in/product/34615","KMT189006")</f>
        <v>KMT189006</v>
      </c>
      <c r="D1682" s="3" t="s">
        <v>7</v>
      </c>
      <c r="E1682" s="5" t="s">
        <v>321</v>
      </c>
    </row>
    <row r="1683" spans="1:5" x14ac:dyDescent="0.25">
      <c r="A1683" s="6">
        <v>1682</v>
      </c>
      <c r="B1683" s="6" t="str">
        <f>HYPERLINK("https://www.kmpharma.in/product/34654","N-Nitroso Trimethoprim EP Impurity A")</f>
        <v>N-Nitroso Trimethoprim EP Impurity A</v>
      </c>
      <c r="C1683" s="6" t="str">
        <f>HYPERLINK("https://www.kmpharma.in/product/34654","KMT191002")</f>
        <v>KMT191002</v>
      </c>
      <c r="D1683" s="6" t="s">
        <v>7</v>
      </c>
      <c r="E1683" s="7" t="s">
        <v>321</v>
      </c>
    </row>
    <row r="1684" spans="1:5" x14ac:dyDescent="0.25">
      <c r="A1684" s="3">
        <v>1683</v>
      </c>
      <c r="B1684" s="3" t="str">
        <f>HYPERLINK("https://www.kmpharma.in/product/34712","N-Nitroso Tropicamide EP Impurity A")</f>
        <v>N-Nitroso Tropicamide EP Impurity A</v>
      </c>
      <c r="C1684" s="3" t="str">
        <f>HYPERLINK("https://www.kmpharma.in/product/34712","KMT199001")</f>
        <v>KMT199001</v>
      </c>
      <c r="D1684" s="3" t="s">
        <v>210</v>
      </c>
      <c r="E1684" s="5" t="s">
        <v>323</v>
      </c>
    </row>
    <row r="1685" spans="1:5" x14ac:dyDescent="0.25">
      <c r="A1685" s="6">
        <v>1684</v>
      </c>
      <c r="B1685" s="6" t="str">
        <f>HYPERLINK("https://www.kmpharma.in/product/34763","N-Nitroso Tryptophan")</f>
        <v>N-Nitroso Tryptophan</v>
      </c>
      <c r="C1685" s="6" t="str">
        <f>HYPERLINK("https://www.kmpharma.in/product/34763","KMT203010")</f>
        <v>KMT203010</v>
      </c>
      <c r="D1685" s="6" t="s">
        <v>211</v>
      </c>
      <c r="E1685" s="7" t="s">
        <v>321</v>
      </c>
    </row>
    <row r="1686" spans="1:5" x14ac:dyDescent="0.25">
      <c r="A1686" s="3">
        <v>1685</v>
      </c>
      <c r="B1686" s="3" t="str">
        <f>HYPERLINK("https://www.kmpharma.in/product/34790","N-Nitroso Tucatinib")</f>
        <v>N-Nitroso Tucatinib</v>
      </c>
      <c r="C1686" s="3" t="str">
        <f>HYPERLINK("https://www.kmpharma.in/product/34790","KMT205001")</f>
        <v>KMT205001</v>
      </c>
      <c r="D1686" s="3" t="s">
        <v>7</v>
      </c>
      <c r="E1686" s="5" t="s">
        <v>321</v>
      </c>
    </row>
    <row r="1687" spans="1:5" x14ac:dyDescent="0.25">
      <c r="A1687" s="6">
        <v>1686</v>
      </c>
      <c r="B1687" s="6" t="str">
        <f>HYPERLINK("https://www.kmpharma.in/product/34791","N-Nitroso Tucatinib Impurity 1")</f>
        <v>N-Nitroso Tucatinib Impurity 1</v>
      </c>
      <c r="C1687" s="6" t="str">
        <f>HYPERLINK("https://www.kmpharma.in/product/34791","KMT205002")</f>
        <v>KMT205002</v>
      </c>
      <c r="D1687" s="6" t="s">
        <v>7</v>
      </c>
      <c r="E1687" s="7" t="s">
        <v>321</v>
      </c>
    </row>
    <row r="1688" spans="1:5" x14ac:dyDescent="0.25">
      <c r="A1688" s="3">
        <v>1687</v>
      </c>
      <c r="B1688" s="3" t="str">
        <f>HYPERLINK("https://www.kmpharma.in/product/34792","N-Nitroso Tucatinib Impurity 2")</f>
        <v>N-Nitroso Tucatinib Impurity 2</v>
      </c>
      <c r="C1688" s="3" t="str">
        <f>HYPERLINK("https://www.kmpharma.in/product/34792","KMT205003")</f>
        <v>KMT205003</v>
      </c>
      <c r="D1688" s="3" t="s">
        <v>7</v>
      </c>
      <c r="E1688" s="5" t="s">
        <v>321</v>
      </c>
    </row>
    <row r="1689" spans="1:5" x14ac:dyDescent="0.25">
      <c r="A1689" s="6">
        <v>1688</v>
      </c>
      <c r="B1689" s="6" t="str">
        <f>HYPERLINK("https://www.kmpharma.in/product/37641","N-Nitroso Ulipristal Acetate")</f>
        <v>N-Nitroso Ulipristal Acetate</v>
      </c>
      <c r="C1689" s="6" t="str">
        <f>HYPERLINK("https://www.kmpharma.in/product/37641","KMU006004")</f>
        <v>KMU006004</v>
      </c>
      <c r="D1689" s="6" t="s">
        <v>7</v>
      </c>
      <c r="E1689" s="7" t="s">
        <v>321</v>
      </c>
    </row>
    <row r="1690" spans="1:5" x14ac:dyDescent="0.25">
      <c r="A1690" s="3">
        <v>1689</v>
      </c>
      <c r="B1690" s="3" t="str">
        <f>HYPERLINK("https://www.kmpharma.in/product/37846","N-Nitroso Valaciclovir")</f>
        <v>N-Nitroso Valaciclovir</v>
      </c>
      <c r="C1690" s="3" t="str">
        <f>HYPERLINK("https://www.kmpharma.in/product/37846","KMV009004")</f>
        <v>KMV009004</v>
      </c>
      <c r="D1690" s="3" t="s">
        <v>7</v>
      </c>
      <c r="E1690" s="5" t="s">
        <v>321</v>
      </c>
    </row>
    <row r="1691" spans="1:5" x14ac:dyDescent="0.25">
      <c r="A1691" s="6">
        <v>1690</v>
      </c>
      <c r="B1691" s="6" t="str">
        <f>HYPERLINK("https://www.kmpharma.in/product/37845","N-Nitroso Valaciclovir EP Impurity C")</f>
        <v>N-Nitroso Valaciclovir EP Impurity C</v>
      </c>
      <c r="C1691" s="6" t="str">
        <f>HYPERLINK("https://www.kmpharma.in/product/37845","KMV009005")</f>
        <v>KMV009005</v>
      </c>
      <c r="D1691" s="6" t="s">
        <v>7</v>
      </c>
      <c r="E1691" s="7" t="s">
        <v>321</v>
      </c>
    </row>
    <row r="1692" spans="1:5" x14ac:dyDescent="0.25">
      <c r="A1692" s="3">
        <v>1691</v>
      </c>
      <c r="B1692" s="3" t="str">
        <f>HYPERLINK("https://www.kmpharma.in/product/37844","N-Nitroso Valaciclovir EP Impurity D")</f>
        <v>N-Nitroso Valaciclovir EP Impurity D</v>
      </c>
      <c r="C1692" s="3" t="str">
        <f>HYPERLINK("https://www.kmpharma.in/product/37844","KMV009006")</f>
        <v>KMV009006</v>
      </c>
      <c r="D1692" s="3" t="s">
        <v>7</v>
      </c>
      <c r="E1692" s="5" t="s">
        <v>321</v>
      </c>
    </row>
    <row r="1693" spans="1:5" x14ac:dyDescent="0.25">
      <c r="A1693" s="6">
        <v>1692</v>
      </c>
      <c r="B1693" s="6" t="str">
        <f>HYPERLINK("https://www.kmpharma.in/product/37847","N-Nitroso Valaciclovir Impurity H")</f>
        <v>N-Nitroso Valaciclovir Impurity H</v>
      </c>
      <c r="C1693" s="6" t="str">
        <f>HYPERLINK("https://www.kmpharma.in/product/37847","KMV009007")</f>
        <v>KMV009007</v>
      </c>
      <c r="D1693" s="6" t="s">
        <v>7</v>
      </c>
      <c r="E1693" s="7" t="s">
        <v>321</v>
      </c>
    </row>
    <row r="1694" spans="1:5" x14ac:dyDescent="0.25">
      <c r="A1694" s="3">
        <v>1693</v>
      </c>
      <c r="B1694" s="3" t="str">
        <f>HYPERLINK("https://www.kmpharma.in/product/37848","N-Nitroso Valaciclovir Impurity P")</f>
        <v>N-Nitroso Valaciclovir Impurity P</v>
      </c>
      <c r="C1694" s="3" t="str">
        <f>HYPERLINK("https://www.kmpharma.in/product/37848","KMV009008")</f>
        <v>KMV009008</v>
      </c>
      <c r="D1694" s="3" t="s">
        <v>7</v>
      </c>
      <c r="E1694" s="5" t="s">
        <v>321</v>
      </c>
    </row>
    <row r="1695" spans="1:5" x14ac:dyDescent="0.25">
      <c r="A1695" s="6">
        <v>1694</v>
      </c>
      <c r="B1695" s="6" t="str">
        <f>HYPERLINK("https://www.kmpharma.in/product/39137","N-Nitroso Valsartan")</f>
        <v>N-Nitroso Valsartan</v>
      </c>
      <c r="C1695" s="6" t="str">
        <f>HYPERLINK("https://www.kmpharma.in/product/39137","KMV008012")</f>
        <v>KMV008012</v>
      </c>
      <c r="D1695" s="6" t="s">
        <v>7</v>
      </c>
      <c r="E1695" s="7" t="s">
        <v>321</v>
      </c>
    </row>
    <row r="1696" spans="1:5" x14ac:dyDescent="0.25">
      <c r="A1696" s="3">
        <v>1695</v>
      </c>
      <c r="B1696" s="3" t="str">
        <f>HYPERLINK("https://www.kmpharma.in/product/39126","N-Nitroso Valsartan Impurity 1")</f>
        <v>N-Nitroso Valsartan Impurity 1</v>
      </c>
      <c r="C1696" s="3" t="str">
        <f>HYPERLINK("https://www.kmpharma.in/product/39126","KMV008013")</f>
        <v>KMV008013</v>
      </c>
      <c r="D1696" s="3" t="s">
        <v>212</v>
      </c>
      <c r="E1696" s="5" t="s">
        <v>321</v>
      </c>
    </row>
    <row r="1697" spans="1:5" x14ac:dyDescent="0.25">
      <c r="A1697" s="6">
        <v>1696</v>
      </c>
      <c r="B1697" s="6" t="str">
        <f>HYPERLINK("https://www.kmpharma.in/product/39135","N-Nitroso Valsartan Impurity 2")</f>
        <v>N-Nitroso Valsartan Impurity 2</v>
      </c>
      <c r="C1697" s="6" t="str">
        <f>HYPERLINK("https://www.kmpharma.in/product/39135","KMV008014")</f>
        <v>KMV008014</v>
      </c>
      <c r="D1697" s="6" t="s">
        <v>7</v>
      </c>
      <c r="E1697" s="7" t="s">
        <v>321</v>
      </c>
    </row>
    <row r="1698" spans="1:5" x14ac:dyDescent="0.25">
      <c r="A1698" s="3">
        <v>1697</v>
      </c>
      <c r="B1698" s="3" t="str">
        <f>HYPERLINK("https://www.kmpharma.in/product/39127","N-Nitroso Valsartan Methyl Ester")</f>
        <v>N-Nitroso Valsartan Methyl Ester</v>
      </c>
      <c r="C1698" s="3" t="str">
        <f>HYPERLINK("https://www.kmpharma.in/product/39127","KMV008015")</f>
        <v>KMV008015</v>
      </c>
      <c r="D1698" s="3" t="s">
        <v>7</v>
      </c>
      <c r="E1698" s="3" t="s">
        <v>16</v>
      </c>
    </row>
    <row r="1699" spans="1:5" x14ac:dyDescent="0.25">
      <c r="A1699" s="6">
        <v>1698</v>
      </c>
      <c r="B1699" s="6" t="str">
        <f>HYPERLINK("https://www.kmpharma.in/product/38110","N-Nitroso Varenicline-d12")</f>
        <v>N-Nitroso Varenicline-d12</v>
      </c>
      <c r="C1699" s="6" t="str">
        <f>HYPERLINK("https://www.kmpharma.in/product/38110","KMV011005")</f>
        <v>KMV011005</v>
      </c>
      <c r="D1699" s="6" t="s">
        <v>7</v>
      </c>
      <c r="E1699" s="7" t="s">
        <v>321</v>
      </c>
    </row>
    <row r="1700" spans="1:5" x14ac:dyDescent="0.25">
      <c r="A1700" s="3">
        <v>1699</v>
      </c>
      <c r="B1700" s="3" t="str">
        <f>HYPERLINK("https://www.kmpharma.in/product/38317","N-Nitroso Venlafaxine EP Impurity D")</f>
        <v>N-Nitroso Venlafaxine EP Impurity D</v>
      </c>
      <c r="C1700" s="3" t="str">
        <f>HYPERLINK("https://www.kmpharma.in/product/38317","KMV001003")</f>
        <v>KMV001003</v>
      </c>
      <c r="D1700" s="3" t="s">
        <v>213</v>
      </c>
      <c r="E1700" s="5" t="s">
        <v>321</v>
      </c>
    </row>
    <row r="1701" spans="1:5" x14ac:dyDescent="0.25">
      <c r="A1701" s="6">
        <v>1700</v>
      </c>
      <c r="B1701" s="6" t="str">
        <f>HYPERLINK("https://www.kmpharma.in/product/38318","N-Nitroso Venlafaxine EP Impurity H")</f>
        <v>N-Nitroso Venlafaxine EP Impurity H</v>
      </c>
      <c r="C1701" s="6" t="str">
        <f>HYPERLINK("https://www.kmpharma.in/product/38318","KMV001004")</f>
        <v>KMV001004</v>
      </c>
      <c r="D1701" s="6" t="s">
        <v>7</v>
      </c>
      <c r="E1701" s="7" t="s">
        <v>321</v>
      </c>
    </row>
    <row r="1702" spans="1:5" x14ac:dyDescent="0.25">
      <c r="A1702" s="3">
        <v>1701</v>
      </c>
      <c r="B1702" s="3" t="str">
        <f>HYPERLINK("https://www.kmpharma.in/product/38319","N-Nitroso Venlafaxine Impurity 3")</f>
        <v>N-Nitroso Venlafaxine Impurity 3</v>
      </c>
      <c r="C1702" s="3" t="str">
        <f>HYPERLINK("https://www.kmpharma.in/product/38319","KMV001005")</f>
        <v>KMV001005</v>
      </c>
      <c r="D1702" s="3" t="s">
        <v>7</v>
      </c>
      <c r="E1702" s="5" t="s">
        <v>321</v>
      </c>
    </row>
    <row r="1703" spans="1:5" x14ac:dyDescent="0.25">
      <c r="A1703" s="6">
        <v>1702</v>
      </c>
      <c r="B1703" s="6" t="str">
        <f>HYPERLINK("https://www.kmpharma.in/product/38320","N-Nitroso Venlafaxine Impurity 4")</f>
        <v>N-Nitroso Venlafaxine Impurity 4</v>
      </c>
      <c r="C1703" s="6" t="str">
        <f>HYPERLINK("https://www.kmpharma.in/product/38320","KMV001006")</f>
        <v>KMV001006</v>
      </c>
      <c r="D1703" s="6" t="s">
        <v>7</v>
      </c>
      <c r="E1703" s="7" t="s">
        <v>321</v>
      </c>
    </row>
    <row r="1704" spans="1:5" x14ac:dyDescent="0.25">
      <c r="A1704" s="3">
        <v>1703</v>
      </c>
      <c r="B1704" s="3" t="str">
        <f>HYPERLINK("https://www.kmpharma.in/product/38321","N-Nitroso Venlafaxine Impurity 5")</f>
        <v>N-Nitroso Venlafaxine Impurity 5</v>
      </c>
      <c r="C1704" s="3" t="str">
        <f>HYPERLINK("https://www.kmpharma.in/product/38321","KMV001007")</f>
        <v>KMV001007</v>
      </c>
      <c r="D1704" s="3" t="s">
        <v>7</v>
      </c>
      <c r="E1704" s="5" t="s">
        <v>321</v>
      </c>
    </row>
    <row r="1705" spans="1:5" x14ac:dyDescent="0.25">
      <c r="A1705" s="6">
        <v>1704</v>
      </c>
      <c r="B1705" s="6" t="str">
        <f>HYPERLINK("https://www.kmpharma.in/product/38322","N-Nitroso Venlafaxine Impurity 6")</f>
        <v>N-Nitroso Venlafaxine Impurity 6</v>
      </c>
      <c r="C1705" s="6" t="str">
        <f>HYPERLINK("https://www.kmpharma.in/product/38322","KMV001008")</f>
        <v>KMV001008</v>
      </c>
      <c r="D1705" s="6" t="s">
        <v>7</v>
      </c>
      <c r="E1705" s="7" t="s">
        <v>321</v>
      </c>
    </row>
    <row r="1706" spans="1:5" x14ac:dyDescent="0.25">
      <c r="A1706" s="3">
        <v>1705</v>
      </c>
      <c r="B1706" s="3" t="str">
        <f>HYPERLINK("https://www.kmpharma.in/product/38371","N-Nitroso Verapamil EP Impurity B")</f>
        <v>N-Nitroso Verapamil EP Impurity B</v>
      </c>
      <c r="C1706" s="3" t="str">
        <f>HYPERLINK("https://www.kmpharma.in/product/38371","KMV002002")</f>
        <v>KMV002002</v>
      </c>
      <c r="D1706" s="3" t="s">
        <v>7</v>
      </c>
      <c r="E1706" s="5" t="s">
        <v>321</v>
      </c>
    </row>
    <row r="1707" spans="1:5" x14ac:dyDescent="0.25">
      <c r="A1707" s="6">
        <v>1706</v>
      </c>
      <c r="B1707" s="6" t="str">
        <f>HYPERLINK("https://www.kmpharma.in/product/38372","N-Nitroso Verapamil EP Impurity F")</f>
        <v>N-Nitroso Verapamil EP Impurity F</v>
      </c>
      <c r="C1707" s="6" t="str">
        <f>HYPERLINK("https://www.kmpharma.in/product/38372","KMV002003")</f>
        <v>KMV002003</v>
      </c>
      <c r="D1707" s="6" t="s">
        <v>7</v>
      </c>
      <c r="E1707" s="7" t="s">
        <v>324</v>
      </c>
    </row>
    <row r="1708" spans="1:5" x14ac:dyDescent="0.25">
      <c r="A1708" s="3">
        <v>1707</v>
      </c>
      <c r="B1708" s="3" t="str">
        <f>HYPERLINK("https://www.kmpharma.in/product/38373","N-Nitroso Verapamil EP Impurity J")</f>
        <v>N-Nitroso Verapamil EP Impurity J</v>
      </c>
      <c r="C1708" s="3" t="str">
        <f>HYPERLINK("https://www.kmpharma.in/product/38373","KMV002004")</f>
        <v>KMV002004</v>
      </c>
      <c r="D1708" s="3" t="s">
        <v>7</v>
      </c>
      <c r="E1708" s="5" t="s">
        <v>321</v>
      </c>
    </row>
    <row r="1709" spans="1:5" x14ac:dyDescent="0.25">
      <c r="A1709" s="6">
        <v>1708</v>
      </c>
      <c r="B1709" s="6" t="str">
        <f>HYPERLINK("https://www.kmpharma.in/product/140","N-NITROSO VIBEGRON")</f>
        <v>N-NITROSO VIBEGRON</v>
      </c>
      <c r="C1709" s="6" t="str">
        <f>HYPERLINK("https://www.kmpharma.in/product/140","KMV006001")</f>
        <v>KMV006001</v>
      </c>
      <c r="D1709" s="6" t="s">
        <v>163</v>
      </c>
      <c r="E1709" s="7" t="s">
        <v>321</v>
      </c>
    </row>
    <row r="1710" spans="1:5" x14ac:dyDescent="0.25">
      <c r="A1710" s="3">
        <v>1709</v>
      </c>
      <c r="B1710" s="3" t="str">
        <f>HYPERLINK("https://www.kmpharma.in/product/38464","N-Nitroso Vigabatrin EP Impurity A")</f>
        <v>N-Nitroso Vigabatrin EP Impurity A</v>
      </c>
      <c r="C1710" s="3" t="str">
        <f>HYPERLINK("https://www.kmpharma.in/product/38464","KMV012001")</f>
        <v>KMV012001</v>
      </c>
      <c r="D1710" s="3" t="s">
        <v>7</v>
      </c>
      <c r="E1710" s="3" t="s">
        <v>16</v>
      </c>
    </row>
    <row r="1711" spans="1:5" x14ac:dyDescent="0.25">
      <c r="A1711" s="6">
        <v>1710</v>
      </c>
      <c r="B1711" s="6" t="str">
        <f>HYPERLINK("https://www.kmpharma.in/product/38465","N-Nitroso Vigabatrin Impurity 1")</f>
        <v>N-Nitroso Vigabatrin Impurity 1</v>
      </c>
      <c r="C1711" s="6" t="str">
        <f>HYPERLINK("https://www.kmpharma.in/product/38465","KMV012002")</f>
        <v>KMV012002</v>
      </c>
      <c r="D1711" s="6" t="s">
        <v>7</v>
      </c>
      <c r="E1711" s="7" t="s">
        <v>321</v>
      </c>
    </row>
    <row r="1712" spans="1:5" x14ac:dyDescent="0.25">
      <c r="A1712" s="3">
        <v>1711</v>
      </c>
      <c r="B1712" s="3" t="str">
        <f>HYPERLINK("https://www.kmpharma.in/product/38580","N-Nitroso Vilazodone Ethyl Ester Impurity")</f>
        <v>N-Nitroso Vilazodone Ethyl Ester Impurity</v>
      </c>
      <c r="C1712" s="3" t="str">
        <f>HYPERLINK("https://www.kmpharma.in/product/38580","KMV033004")</f>
        <v>KMV033004</v>
      </c>
      <c r="D1712" s="3" t="s">
        <v>7</v>
      </c>
      <c r="E1712" s="5" t="s">
        <v>323</v>
      </c>
    </row>
    <row r="1713" spans="1:5" x14ac:dyDescent="0.25">
      <c r="A1713" s="6">
        <v>1712</v>
      </c>
      <c r="B1713" s="6" t="str">
        <f>HYPERLINK("https://www.kmpharma.in/product/38573","N-Nitroso Vilazodone Impurity")</f>
        <v>N-Nitroso Vilazodone Impurity</v>
      </c>
      <c r="C1713" s="6" t="str">
        <f>HYPERLINK("https://www.kmpharma.in/product/38573","KMV033005")</f>
        <v>KMV033005</v>
      </c>
      <c r="D1713" s="6" t="s">
        <v>7</v>
      </c>
      <c r="E1713" s="7" t="s">
        <v>324</v>
      </c>
    </row>
    <row r="1714" spans="1:5" x14ac:dyDescent="0.25">
      <c r="A1714" s="3">
        <v>1713</v>
      </c>
      <c r="B1714" s="3" t="str">
        <f>HYPERLINK("https://www.kmpharma.in/product/38581","N-Nitroso Vilazodone Impurity 2")</f>
        <v>N-Nitroso Vilazodone Impurity 2</v>
      </c>
      <c r="C1714" s="3" t="str">
        <f>HYPERLINK("https://www.kmpharma.in/product/38581","KMV033006")</f>
        <v>KMV033006</v>
      </c>
      <c r="D1714" s="3" t="s">
        <v>7</v>
      </c>
      <c r="E1714" s="5" t="s">
        <v>324</v>
      </c>
    </row>
    <row r="1715" spans="1:5" x14ac:dyDescent="0.25">
      <c r="A1715" s="6">
        <v>1714</v>
      </c>
      <c r="B1715" s="6" t="str">
        <f>HYPERLINK("https://www.kmpharma.in/product/38582","N-Nitroso Vilazodone Impurity 3")</f>
        <v>N-Nitroso Vilazodone Impurity 3</v>
      </c>
      <c r="C1715" s="6" t="str">
        <f>HYPERLINK("https://www.kmpharma.in/product/38582","KMV033007")</f>
        <v>KMV033007</v>
      </c>
      <c r="D1715" s="6" t="s">
        <v>7</v>
      </c>
      <c r="E1715" s="7" t="s">
        <v>321</v>
      </c>
    </row>
    <row r="1716" spans="1:5" x14ac:dyDescent="0.25">
      <c r="A1716" s="3">
        <v>1715</v>
      </c>
      <c r="B1716" s="3" t="str">
        <f>HYPERLINK("https://www.kmpharma.in/product/38583","N-Nitroso Vilazodone Impurity 4")</f>
        <v>N-Nitroso Vilazodone Impurity 4</v>
      </c>
      <c r="C1716" s="3" t="str">
        <f>HYPERLINK("https://www.kmpharma.in/product/38583","KMV033008")</f>
        <v>KMV033008</v>
      </c>
      <c r="D1716" s="3" t="s">
        <v>7</v>
      </c>
      <c r="E1716" s="5" t="s">
        <v>322</v>
      </c>
    </row>
    <row r="1717" spans="1:5" x14ac:dyDescent="0.25">
      <c r="A1717" s="6">
        <v>1716</v>
      </c>
      <c r="B1717" s="6" t="str">
        <f>HYPERLINK("https://www.kmpharma.in/product/38574","N-Nitroso Vilazodone Impurity 5")</f>
        <v>N-Nitroso Vilazodone Impurity 5</v>
      </c>
      <c r="C1717" s="6" t="str">
        <f>HYPERLINK("https://www.kmpharma.in/product/38574","KMV033009")</f>
        <v>KMV033009</v>
      </c>
      <c r="D1717" s="6" t="s">
        <v>214</v>
      </c>
      <c r="E1717" s="7" t="s">
        <v>322</v>
      </c>
    </row>
    <row r="1718" spans="1:5" x14ac:dyDescent="0.25">
      <c r="A1718" s="3">
        <v>1717</v>
      </c>
      <c r="B1718" s="3" t="str">
        <f>HYPERLINK("https://www.kmpharma.in/product/38675","N-Nitroso Vildagliptin")</f>
        <v>N-Nitroso Vildagliptin</v>
      </c>
      <c r="C1718" s="3" t="str">
        <f>HYPERLINK("https://www.kmpharma.in/product/38675","KMV013009")</f>
        <v>KMV013009</v>
      </c>
      <c r="D1718" s="3" t="s">
        <v>7</v>
      </c>
      <c r="E1718" s="5" t="s">
        <v>321</v>
      </c>
    </row>
    <row r="1719" spans="1:5" x14ac:dyDescent="0.25">
      <c r="A1719" s="6">
        <v>1718</v>
      </c>
      <c r="B1719" s="6" t="str">
        <f>HYPERLINK("https://www.kmpharma.in/product/515","N-Nitroso Vildagliptin Amide Impurity")</f>
        <v>N-Nitroso Vildagliptin Amide Impurity</v>
      </c>
      <c r="C1719" s="6" t="str">
        <f>HYPERLINK("https://www.kmpharma.in/product/515","KMV013002")</f>
        <v>KMV013002</v>
      </c>
      <c r="D1719" s="6" t="s">
        <v>35</v>
      </c>
      <c r="E1719" s="7" t="s">
        <v>322</v>
      </c>
    </row>
    <row r="1720" spans="1:5" x14ac:dyDescent="0.25">
      <c r="A1720" s="3">
        <v>1719</v>
      </c>
      <c r="B1720" s="3" t="str">
        <f>HYPERLINK("https://www.kmpharma.in/product/38676","N-Nitroso Vildagliptin Amide Impurity")</f>
        <v>N-Nitroso Vildagliptin Amide Impurity</v>
      </c>
      <c r="C1720" s="3" t="str">
        <f>HYPERLINK("https://www.kmpharma.in/product/38676","KMV013010")</f>
        <v>KMV013010</v>
      </c>
      <c r="D1720" s="3" t="s">
        <v>7</v>
      </c>
      <c r="E1720" s="5" t="s">
        <v>322</v>
      </c>
    </row>
    <row r="1721" spans="1:5" x14ac:dyDescent="0.25">
      <c r="A1721" s="6">
        <v>1720</v>
      </c>
      <c r="B1721" s="6" t="str">
        <f>HYPERLINK("https://www.kmpharma.in/product/516","N-Nitroso Vildagliptin Carboxylic Acid Impurity")</f>
        <v>N-Nitroso Vildagliptin Carboxylic Acid Impurity</v>
      </c>
      <c r="C1721" s="6" t="str">
        <f>HYPERLINK("https://www.kmpharma.in/product/516","KMV013003")</f>
        <v>KMV013003</v>
      </c>
      <c r="D1721" s="6" t="s">
        <v>35</v>
      </c>
      <c r="E1721" s="7" t="s">
        <v>322</v>
      </c>
    </row>
    <row r="1722" spans="1:5" x14ac:dyDescent="0.25">
      <c r="A1722" s="3">
        <v>1721</v>
      </c>
      <c r="B1722" s="3" t="str">
        <f>HYPERLINK("https://www.kmpharma.in/product/38673","N-Nitroso Vildagliptin D2")</f>
        <v>N-Nitroso Vildagliptin D2</v>
      </c>
      <c r="C1722" s="3" t="str">
        <f>HYPERLINK("https://www.kmpharma.in/product/38673","KMV013011")</f>
        <v>KMV013011</v>
      </c>
      <c r="D1722" s="3" t="s">
        <v>7</v>
      </c>
      <c r="E1722" s="5" t="s">
        <v>322</v>
      </c>
    </row>
    <row r="1723" spans="1:5" x14ac:dyDescent="0.25">
      <c r="A1723" s="6">
        <v>1722</v>
      </c>
      <c r="B1723" s="6" t="str">
        <f>HYPERLINK("https://www.kmpharma.in/product/38667","N-Nitroso Vildagliptin D3")</f>
        <v>N-Nitroso Vildagliptin D3</v>
      </c>
      <c r="C1723" s="6" t="str">
        <f>HYPERLINK("https://www.kmpharma.in/product/38667","KMV013012")</f>
        <v>KMV013012</v>
      </c>
      <c r="D1723" s="6" t="s">
        <v>7</v>
      </c>
      <c r="E1723" s="7" t="s">
        <v>321</v>
      </c>
    </row>
    <row r="1724" spans="1:5" x14ac:dyDescent="0.25">
      <c r="A1724" s="3">
        <v>1723</v>
      </c>
      <c r="B1724" s="3" t="str">
        <f>HYPERLINK("https://www.kmpharma.in/product/514","N-Nitroso Vildagliptin Impurity")</f>
        <v>N-Nitroso Vildagliptin Impurity</v>
      </c>
      <c r="C1724" s="3" t="str">
        <f>HYPERLINK("https://www.kmpharma.in/product/514","KMV013001")</f>
        <v>KMV013001</v>
      </c>
      <c r="D1724" s="3" t="s">
        <v>35</v>
      </c>
      <c r="E1724" s="5" t="s">
        <v>322</v>
      </c>
    </row>
    <row r="1725" spans="1:5" x14ac:dyDescent="0.25">
      <c r="A1725" s="6">
        <v>1724</v>
      </c>
      <c r="B1725" s="6" t="str">
        <f>HYPERLINK("https://www.kmpharma.in/product/38682","N-Nitroso Vildagliptin Impurity")</f>
        <v>N-Nitroso Vildagliptin Impurity</v>
      </c>
      <c r="C1725" s="6" t="str">
        <f>HYPERLINK("https://www.kmpharma.in/product/38682","KMV013013")</f>
        <v>KMV013013</v>
      </c>
      <c r="D1725" s="6" t="s">
        <v>7</v>
      </c>
      <c r="E1725" s="7" t="s">
        <v>322</v>
      </c>
    </row>
    <row r="1726" spans="1:5" x14ac:dyDescent="0.25">
      <c r="A1726" s="3">
        <v>1725</v>
      </c>
      <c r="B1726" s="3" t="str">
        <f>HYPERLINK("https://www.kmpharma.in/product/534","N-Nitroso Vildagliptin Methyl Ester Impurity")</f>
        <v>N-Nitroso Vildagliptin Methyl Ester Impurity</v>
      </c>
      <c r="C1726" s="3" t="str">
        <f>HYPERLINK("https://www.kmpharma.in/product/534","KMV013004")</f>
        <v>KMV013004</v>
      </c>
      <c r="D1726" s="3" t="s">
        <v>35</v>
      </c>
      <c r="E1726" s="5" t="s">
        <v>322</v>
      </c>
    </row>
    <row r="1727" spans="1:5" x14ac:dyDescent="0.25">
      <c r="A1727" s="6">
        <v>1726</v>
      </c>
      <c r="B1727" s="6" t="str">
        <f>HYPERLINK("https://www.kmpharma.in/product/38705","N-Nitroso Viloxazine Impurity 1")</f>
        <v>N-Nitroso Viloxazine Impurity 1</v>
      </c>
      <c r="C1727" s="6" t="str">
        <f>HYPERLINK("https://www.kmpharma.in/product/38705","KMV034010")</f>
        <v>KMV034010</v>
      </c>
      <c r="D1727" s="6" t="s">
        <v>7</v>
      </c>
      <c r="E1727" s="7" t="s">
        <v>322</v>
      </c>
    </row>
    <row r="1728" spans="1:5" x14ac:dyDescent="0.25">
      <c r="A1728" s="3">
        <v>1727</v>
      </c>
      <c r="B1728" s="3" t="str">
        <f>HYPERLINK("https://www.kmpharma.in/product/38706","N-Nitroso Viloxazine Impurity 2")</f>
        <v>N-Nitroso Viloxazine Impurity 2</v>
      </c>
      <c r="C1728" s="3" t="str">
        <f>HYPERLINK("https://www.kmpharma.in/product/38706","KMV034011")</f>
        <v>KMV034011</v>
      </c>
      <c r="D1728" s="3" t="s">
        <v>7</v>
      </c>
      <c r="E1728" s="5" t="s">
        <v>322</v>
      </c>
    </row>
    <row r="1729" spans="1:5" x14ac:dyDescent="0.25">
      <c r="A1729" s="6">
        <v>1728</v>
      </c>
      <c r="B1729" s="6" t="str">
        <f>HYPERLINK("https://www.kmpharma.in/product/38733","N-nitroso Vincristine Sulfate EP Impurity C")</f>
        <v>N-nitroso Vincristine Sulfate EP Impurity C</v>
      </c>
      <c r="C1729" s="6" t="str">
        <f>HYPERLINK("https://www.kmpharma.in/product/38733","KMV036001")</f>
        <v>KMV036001</v>
      </c>
      <c r="D1729" s="6" t="s">
        <v>7</v>
      </c>
      <c r="E1729" s="7" t="s">
        <v>321</v>
      </c>
    </row>
    <row r="1730" spans="1:5" x14ac:dyDescent="0.25">
      <c r="A1730" s="3">
        <v>1729</v>
      </c>
      <c r="B1730" s="3" t="str">
        <f>HYPERLINK("https://www.kmpharma.in/product/38836","N-Nitroso Voglibose")</f>
        <v>N-Nitroso Voglibose</v>
      </c>
      <c r="C1730" s="3" t="str">
        <f>HYPERLINK("https://www.kmpharma.in/product/38836","KMV046001")</f>
        <v>KMV046001</v>
      </c>
      <c r="D1730" s="3" t="s">
        <v>7</v>
      </c>
      <c r="E1730" s="3" t="s">
        <v>16</v>
      </c>
    </row>
    <row r="1731" spans="1:5" x14ac:dyDescent="0.25">
      <c r="A1731" s="6">
        <v>1730</v>
      </c>
      <c r="B1731" s="6" t="str">
        <f>HYPERLINK("https://www.kmpharma.in/product/38903","N-Nitroso Vonoprazan-13CD3")</f>
        <v>N-Nitroso Vonoprazan-13CD3</v>
      </c>
      <c r="C1731" s="6" t="str">
        <f>HYPERLINK("https://www.kmpharma.in/product/38903","KMV047002")</f>
        <v>KMV047002</v>
      </c>
      <c r="D1731" s="6" t="s">
        <v>7</v>
      </c>
      <c r="E1731" s="6" t="s">
        <v>16</v>
      </c>
    </row>
    <row r="1732" spans="1:5" x14ac:dyDescent="0.25">
      <c r="A1732" s="3">
        <v>1731</v>
      </c>
      <c r="B1732" s="3" t="str">
        <f>HYPERLINK("https://www.kmpharma.in/product/38902","N-Nitroso Vonoprazan-D3")</f>
        <v>N-Nitroso Vonoprazan-D3</v>
      </c>
      <c r="C1732" s="3" t="str">
        <f>HYPERLINK("https://www.kmpharma.in/product/38902","KMV047003")</f>
        <v>KMV047003</v>
      </c>
      <c r="D1732" s="3" t="s">
        <v>7</v>
      </c>
      <c r="E1732" s="3" t="s">
        <v>16</v>
      </c>
    </row>
    <row r="1733" spans="1:5" x14ac:dyDescent="0.25">
      <c r="A1733" s="6">
        <v>1732</v>
      </c>
      <c r="B1733" s="6" t="str">
        <f>HYPERLINK("https://www.kmpharma.in/product/38901","N-Nitroso Vonoprazan-D4")</f>
        <v>N-Nitroso Vonoprazan-D4</v>
      </c>
      <c r="C1733" s="6" t="str">
        <f>HYPERLINK("https://www.kmpharma.in/product/38901","KMV047004")</f>
        <v>KMV047004</v>
      </c>
      <c r="D1733" s="6" t="s">
        <v>7</v>
      </c>
      <c r="E1733" s="6" t="s">
        <v>16</v>
      </c>
    </row>
    <row r="1734" spans="1:5" x14ac:dyDescent="0.25">
      <c r="A1734" s="3">
        <v>1733</v>
      </c>
      <c r="B1734" s="3" t="str">
        <f>HYPERLINK("https://www.kmpharma.in/product/39032","N-Nitroso Vortioxetine")</f>
        <v>N-Nitroso Vortioxetine</v>
      </c>
      <c r="C1734" s="3" t="str">
        <f>HYPERLINK("https://www.kmpharma.in/product/39032","KMV003010")</f>
        <v>KMV003010</v>
      </c>
      <c r="D1734" s="3" t="s">
        <v>215</v>
      </c>
      <c r="E1734" s="3" t="s">
        <v>16</v>
      </c>
    </row>
    <row r="1735" spans="1:5" x14ac:dyDescent="0.25">
      <c r="A1735" s="6">
        <v>1734</v>
      </c>
      <c r="B1735" s="6" t="str">
        <f>HYPERLINK("https://www.kmpharma.in/product/39033","N-Nitroso Vortioxetine Bromo Impurity")</f>
        <v>N-Nitroso Vortioxetine Bromo Impurity</v>
      </c>
      <c r="C1735" s="6" t="str">
        <f>HYPERLINK("https://www.kmpharma.in/product/39033","KMV003011")</f>
        <v>KMV003011</v>
      </c>
      <c r="D1735" s="6" t="s">
        <v>7</v>
      </c>
      <c r="E1735" s="6" t="s">
        <v>16</v>
      </c>
    </row>
    <row r="1736" spans="1:5" x14ac:dyDescent="0.25">
      <c r="A1736" s="3">
        <v>1735</v>
      </c>
      <c r="B1736" s="3" t="str">
        <f>HYPERLINK("https://www.kmpharma.in/product/39030","N-Nitroso Vortioxetine D2")</f>
        <v>N-Nitroso Vortioxetine D2</v>
      </c>
      <c r="C1736" s="3" t="str">
        <f>HYPERLINK("https://www.kmpharma.in/product/39030","KMV003012")</f>
        <v>KMV003012</v>
      </c>
      <c r="D1736" s="3" t="s">
        <v>7</v>
      </c>
      <c r="E1736" s="3" t="s">
        <v>16</v>
      </c>
    </row>
    <row r="1737" spans="1:5" x14ac:dyDescent="0.25">
      <c r="A1737" s="6">
        <v>1736</v>
      </c>
      <c r="B1737" s="6" t="str">
        <f>HYPERLINK("https://www.kmpharma.in/product/39029","N-Nitroso Vortioxetine D4")</f>
        <v>N-Nitroso Vortioxetine D4</v>
      </c>
      <c r="C1737" s="6" t="str">
        <f>HYPERLINK("https://www.kmpharma.in/product/39029","KMV003013")</f>
        <v>KMV003013</v>
      </c>
      <c r="D1737" s="6" t="s">
        <v>7</v>
      </c>
      <c r="E1737" s="7" t="s">
        <v>323</v>
      </c>
    </row>
    <row r="1738" spans="1:5" x14ac:dyDescent="0.25">
      <c r="A1738" s="3">
        <v>1737</v>
      </c>
      <c r="B1738" s="3" t="str">
        <f>HYPERLINK("https://www.kmpharma.in/product/39035","N-Nitroso Vortioxetine Impurity 1")</f>
        <v>N-Nitroso Vortioxetine Impurity 1</v>
      </c>
      <c r="C1738" s="3" t="str">
        <f>HYPERLINK("https://www.kmpharma.in/product/39035","KMV003014")</f>
        <v>KMV003014</v>
      </c>
      <c r="D1738" s="3" t="s">
        <v>7</v>
      </c>
      <c r="E1738" s="5" t="s">
        <v>323</v>
      </c>
    </row>
    <row r="1739" spans="1:5" x14ac:dyDescent="0.25">
      <c r="A1739" s="6">
        <v>1738</v>
      </c>
      <c r="B1739" s="6" t="str">
        <f>HYPERLINK("https://www.kmpharma.in/product/39036","N-Nitroso Vortioxetine Impurity 2")</f>
        <v>N-Nitroso Vortioxetine Impurity 2</v>
      </c>
      <c r="C1739" s="6" t="str">
        <f>HYPERLINK("https://www.kmpharma.in/product/39036","KMV003015")</f>
        <v>KMV003015</v>
      </c>
      <c r="D1739" s="6" t="s">
        <v>7</v>
      </c>
      <c r="E1739" s="6" t="s">
        <v>16</v>
      </c>
    </row>
    <row r="1740" spans="1:5" x14ac:dyDescent="0.25">
      <c r="A1740" s="3">
        <v>1739</v>
      </c>
      <c r="B1740" s="3" t="str">
        <f>HYPERLINK("https://www.kmpharma.in/product/39037","N-Nitroso Vortioxetine Impurity 3")</f>
        <v>N-Nitroso Vortioxetine Impurity 3</v>
      </c>
      <c r="C1740" s="3" t="str">
        <f>HYPERLINK("https://www.kmpharma.in/product/39037","KMV003016")</f>
        <v>KMV003016</v>
      </c>
      <c r="D1740" s="3" t="s">
        <v>7</v>
      </c>
      <c r="E1740" s="3" t="s">
        <v>16</v>
      </c>
    </row>
    <row r="1741" spans="1:5" x14ac:dyDescent="0.25">
      <c r="A1741" s="6">
        <v>1740</v>
      </c>
      <c r="B1741" s="6" t="str">
        <f>HYPERLINK("https://www.kmpharma.in/product/39034","N-Nitroso Vortioxetine Sulfoxide")</f>
        <v>N-Nitroso Vortioxetine Sulfoxide</v>
      </c>
      <c r="C1741" s="6" t="str">
        <f>HYPERLINK("https://www.kmpharma.in/product/39034","KMV003017")</f>
        <v>KMV003017</v>
      </c>
      <c r="D1741" s="6" t="s">
        <v>7</v>
      </c>
      <c r="E1741" s="7" t="s">
        <v>324</v>
      </c>
    </row>
    <row r="1742" spans="1:5" x14ac:dyDescent="0.25">
      <c r="A1742" s="3">
        <v>1741</v>
      </c>
      <c r="B1742" s="3" t="str">
        <f>HYPERLINK("https://www.kmpharma.in/product/39206","N-Nitroso Zalunfiban")</f>
        <v>N-Nitroso Zalunfiban</v>
      </c>
      <c r="C1742" s="3" t="str">
        <f>HYPERLINK("https://www.kmpharma.in/product/39206","KMZ010001")</f>
        <v>KMZ010001</v>
      </c>
      <c r="D1742" s="3" t="s">
        <v>7</v>
      </c>
      <c r="E1742" s="5" t="s">
        <v>323</v>
      </c>
    </row>
    <row r="1743" spans="1:5" x14ac:dyDescent="0.25">
      <c r="A1743" s="6">
        <v>1742</v>
      </c>
      <c r="B1743" s="6" t="str">
        <f>HYPERLINK("https://www.kmpharma.in/product/39242","N-Nitroso Zanubrutinib")</f>
        <v>N-Nitroso Zanubrutinib</v>
      </c>
      <c r="C1743" s="6" t="str">
        <f>HYPERLINK("https://www.kmpharma.in/product/39242","KMZ012001")</f>
        <v>KMZ012001</v>
      </c>
      <c r="D1743" s="6" t="s">
        <v>7</v>
      </c>
      <c r="E1743" s="6" t="s">
        <v>16</v>
      </c>
    </row>
    <row r="1744" spans="1:5" x14ac:dyDescent="0.25">
      <c r="A1744" s="3">
        <v>1743</v>
      </c>
      <c r="B1744" s="3" t="str">
        <f>HYPERLINK("https://www.kmpharma.in/product/39361","N-Nitroso Ziprasidone")</f>
        <v>N-Nitroso Ziprasidone</v>
      </c>
      <c r="C1744" s="3" t="str">
        <f>HYPERLINK("https://www.kmpharma.in/product/39361","KMZ002008")</f>
        <v>KMZ002008</v>
      </c>
      <c r="D1744" s="3" t="s">
        <v>7</v>
      </c>
      <c r="E1744" s="3" t="s">
        <v>16</v>
      </c>
    </row>
    <row r="1745" spans="1:5" x14ac:dyDescent="0.25">
      <c r="A1745" s="6">
        <v>1744</v>
      </c>
      <c r="B1745" s="6" t="str">
        <f>HYPERLINK("https://www.kmpharma.in/product/39437","N-Nitroso Zolmitriptan")</f>
        <v>N-Nitroso Zolmitriptan</v>
      </c>
      <c r="C1745" s="6" t="str">
        <f>HYPERLINK("https://www.kmpharma.in/product/39437","KMZ001006")</f>
        <v>KMZ001006</v>
      </c>
      <c r="D1745" s="6" t="s">
        <v>7</v>
      </c>
      <c r="E1745" s="6" t="s">
        <v>16</v>
      </c>
    </row>
    <row r="1746" spans="1:5" x14ac:dyDescent="0.25">
      <c r="A1746" s="3">
        <v>1745</v>
      </c>
      <c r="B1746" s="3" t="str">
        <f>HYPERLINK("https://www.kmpharma.in/product/39439","N-Nitroso Zolmitriptan EP Impurity D")</f>
        <v>N-Nitroso Zolmitriptan EP Impurity D</v>
      </c>
      <c r="C1746" s="3" t="str">
        <f>HYPERLINK("https://www.kmpharma.in/product/39439","KMZ001007")</f>
        <v>KMZ001007</v>
      </c>
      <c r="D1746" s="3" t="s">
        <v>7</v>
      </c>
      <c r="E1746" s="3" t="s">
        <v>16</v>
      </c>
    </row>
    <row r="1747" spans="1:5" x14ac:dyDescent="0.25">
      <c r="A1747" s="6">
        <v>1746</v>
      </c>
      <c r="B1747" s="6" t="str">
        <f>HYPERLINK("https://www.kmpharma.in/product/39440","N-Nitroso Zolmitriptan EP Impurity F")</f>
        <v>N-Nitroso Zolmitriptan EP Impurity F</v>
      </c>
      <c r="C1747" s="6" t="str">
        <f>HYPERLINK("https://www.kmpharma.in/product/39440","KMZ001008")</f>
        <v>KMZ001008</v>
      </c>
      <c r="D1747" s="6" t="s">
        <v>7</v>
      </c>
      <c r="E1747" s="6" t="s">
        <v>16</v>
      </c>
    </row>
    <row r="1748" spans="1:5" x14ac:dyDescent="0.25">
      <c r="A1748" s="3">
        <v>1747</v>
      </c>
      <c r="B1748" s="3" t="str">
        <f>HYPERLINK("https://www.kmpharma.in/product/39438","N-Nitroso Zolmitriptan EP Impurity G")</f>
        <v>N-Nitroso Zolmitriptan EP Impurity G</v>
      </c>
      <c r="C1748" s="3" t="str">
        <f>HYPERLINK("https://www.kmpharma.in/product/39438","KMZ001009")</f>
        <v>KMZ001009</v>
      </c>
      <c r="D1748" s="3" t="s">
        <v>7</v>
      </c>
      <c r="E1748" s="3" t="s">
        <v>16</v>
      </c>
    </row>
    <row r="1749" spans="1:5" x14ac:dyDescent="0.25">
      <c r="A1749" s="6">
        <v>1748</v>
      </c>
      <c r="B1749" s="6" t="str">
        <f>HYPERLINK("https://www.kmpharma.in/product/39446","N-Nitroso Zolmitriptan Impurity 2")</f>
        <v>N-Nitroso Zolmitriptan Impurity 2</v>
      </c>
      <c r="C1749" s="6" t="str">
        <f>HYPERLINK("https://www.kmpharma.in/product/39446","KMZ001010")</f>
        <v>KMZ001010</v>
      </c>
      <c r="D1749" s="6" t="s">
        <v>7</v>
      </c>
      <c r="E1749" s="6" t="s">
        <v>16</v>
      </c>
    </row>
    <row r="1750" spans="1:5" x14ac:dyDescent="0.25">
      <c r="A1750" s="3">
        <v>1749</v>
      </c>
      <c r="B1750" s="3" t="str">
        <f>HYPERLINK("https://www.kmpharma.in/product/39447","N-Nitroso Zolmitriptan Impurity 3")</f>
        <v>N-Nitroso Zolmitriptan Impurity 3</v>
      </c>
      <c r="C1750" s="3" t="str">
        <f>HYPERLINK("https://www.kmpharma.in/product/39447","KMZ001011")</f>
        <v>KMZ001011</v>
      </c>
      <c r="D1750" s="3" t="s">
        <v>7</v>
      </c>
      <c r="E1750" s="3" t="s">
        <v>16</v>
      </c>
    </row>
    <row r="1751" spans="1:5" x14ac:dyDescent="0.25">
      <c r="A1751" s="6">
        <v>1750</v>
      </c>
      <c r="B1751" s="6" t="str">
        <f>HYPERLINK("https://www.kmpharma.in/product/39441","N-Nitroso Zolmitriptan Impurity 4")</f>
        <v>N-Nitroso Zolmitriptan Impurity 4</v>
      </c>
      <c r="C1751" s="6" t="str">
        <f>HYPERLINK("https://www.kmpharma.in/product/39441","KMZ001012")</f>
        <v>KMZ001012</v>
      </c>
      <c r="D1751" s="6" t="s">
        <v>7</v>
      </c>
      <c r="E1751" s="7" t="s">
        <v>323</v>
      </c>
    </row>
    <row r="1752" spans="1:5" x14ac:dyDescent="0.25">
      <c r="A1752" s="3">
        <v>1751</v>
      </c>
      <c r="B1752" s="3" t="str">
        <f>HYPERLINK("https://www.kmpharma.in/product/39471","N-Nitroso Zolpyridine")</f>
        <v>N-Nitroso Zolpyridine</v>
      </c>
      <c r="C1752" s="3" t="str">
        <f>HYPERLINK("https://www.kmpharma.in/product/39471","KMZ003002")</f>
        <v>KMZ003002</v>
      </c>
      <c r="D1752" s="3" t="s">
        <v>7</v>
      </c>
      <c r="E1752" s="5" t="s">
        <v>323</v>
      </c>
    </row>
    <row r="1753" spans="1:5" x14ac:dyDescent="0.25">
      <c r="A1753" s="6">
        <v>1752</v>
      </c>
      <c r="B1753" s="6" t="str">
        <f>HYPERLINK("https://www.kmpharma.in/product/23071","N-Nitroso α,α'-Hydrazodiisobutyronitrile")</f>
        <v>N-Nitroso α,α'-Hydrazodiisobutyronitrile</v>
      </c>
      <c r="C1753" s="6" t="str">
        <f>HYPERLINK("https://www.kmpharma.in/product/23071","KMN084070")</f>
        <v>KMN084070</v>
      </c>
      <c r="D1753" s="6" t="s">
        <v>7</v>
      </c>
      <c r="E1753" s="7" t="s">
        <v>323</v>
      </c>
    </row>
    <row r="1754" spans="1:5" x14ac:dyDescent="0.25">
      <c r="A1754" s="3">
        <v>1753</v>
      </c>
      <c r="B1754" s="3" t="str">
        <f>HYPERLINK("https://www.kmpharma.in/product/23044","N-Nitroso-2-methylpiperidin")</f>
        <v>N-Nitroso-2-methylpiperidin</v>
      </c>
      <c r="C1754" s="3" t="str">
        <f>HYPERLINK("https://www.kmpharma.in/product/23044","KMN084071")</f>
        <v>KMN084071</v>
      </c>
      <c r="D1754" s="3" t="s">
        <v>216</v>
      </c>
      <c r="E1754" s="5" t="s">
        <v>323</v>
      </c>
    </row>
    <row r="1755" spans="1:5" x14ac:dyDescent="0.25">
      <c r="A1755" s="6">
        <v>1754</v>
      </c>
      <c r="B1755" s="6" t="str">
        <f>HYPERLINK("https://www.kmpharma.in/product/1387","N-Nitroso-3-Aminopiperidine")</f>
        <v>N-Nitroso-3-Aminopiperidine</v>
      </c>
      <c r="C1755" s="6" t="str">
        <f>HYPERLINK("https://www.kmpharma.in/product/1387","KMA028085")</f>
        <v>KMA028085</v>
      </c>
      <c r="D1755" s="6" t="s">
        <v>7</v>
      </c>
      <c r="E1755" s="7" t="s">
        <v>323</v>
      </c>
    </row>
    <row r="1756" spans="1:5" x14ac:dyDescent="0.25">
      <c r="A1756" s="3">
        <v>1755</v>
      </c>
      <c r="B1756" s="3" t="str">
        <f>HYPERLINK("https://www.kmpharma.in/product/23072","N-Nitroso-3-hydroxy pyrrolidone")</f>
        <v>N-Nitroso-3-hydroxy pyrrolidone</v>
      </c>
      <c r="C1756" s="3" t="str">
        <f>HYPERLINK("https://www.kmpharma.in/product/23072","KMN084072")</f>
        <v>KMN084072</v>
      </c>
      <c r="D1756" s="3" t="s">
        <v>217</v>
      </c>
      <c r="E1756" s="5" t="s">
        <v>323</v>
      </c>
    </row>
    <row r="1757" spans="1:5" x14ac:dyDescent="0.25">
      <c r="A1757" s="6">
        <v>1756</v>
      </c>
      <c r="B1757" s="6" t="str">
        <f>HYPERLINK("https://www.kmpharma.in/product/23073","N-Nitroso-4-hydroxy pyrrolidone")</f>
        <v>N-Nitroso-4-hydroxy pyrrolidone</v>
      </c>
      <c r="C1757" s="6" t="str">
        <f>HYPERLINK("https://www.kmpharma.in/product/23073","KMN084073")</f>
        <v>KMN084073</v>
      </c>
      <c r="D1757" s="6" t="s">
        <v>7</v>
      </c>
      <c r="E1757" s="7" t="s">
        <v>323</v>
      </c>
    </row>
    <row r="1758" spans="1:5" x14ac:dyDescent="0.25">
      <c r="A1758" s="3">
        <v>1757</v>
      </c>
      <c r="B1758" s="3" t="str">
        <f>HYPERLINK("https://www.kmpharma.in/product/22964","N-Nitroso-4-Piperidinol")</f>
        <v>N-Nitroso-4-Piperidinol</v>
      </c>
      <c r="C1758" s="3" t="str">
        <f>HYPERLINK("https://www.kmpharma.in/product/22964","KMN084074")</f>
        <v>KMN084074</v>
      </c>
      <c r="D1758" s="3" t="s">
        <v>218</v>
      </c>
      <c r="E1758" s="5" t="s">
        <v>323</v>
      </c>
    </row>
    <row r="1759" spans="1:5" x14ac:dyDescent="0.25">
      <c r="A1759" s="6">
        <v>1758</v>
      </c>
      <c r="B1759" s="6" t="str">
        <f>HYPERLINK("https://www.kmpharma.in/product/22965","N-Nitroso-4-piperidone")</f>
        <v>N-Nitroso-4-piperidone</v>
      </c>
      <c r="C1759" s="6" t="str">
        <f>HYPERLINK("https://www.kmpharma.in/product/22965","KMN084075")</f>
        <v>KMN084075</v>
      </c>
      <c r="D1759" s="6" t="s">
        <v>219</v>
      </c>
      <c r="E1759" s="6" t="s">
        <v>16</v>
      </c>
    </row>
    <row r="1760" spans="1:5" x14ac:dyDescent="0.25">
      <c r="A1760" s="3">
        <v>1759</v>
      </c>
      <c r="B1760" s="3" t="str">
        <f>HYPERLINK("https://www.kmpharma.in/product/23289","N-Nitroso-5-Hydroxy Nortriptyline")</f>
        <v>N-Nitroso-5-Hydroxy Nortriptyline</v>
      </c>
      <c r="C1760" s="3" t="str">
        <f>HYPERLINK("https://www.kmpharma.in/product/23289","KMN102009")</f>
        <v>KMN102009</v>
      </c>
      <c r="D1760" s="3" t="s">
        <v>7</v>
      </c>
      <c r="E1760" s="3" t="s">
        <v>16</v>
      </c>
    </row>
    <row r="1761" spans="1:5" x14ac:dyDescent="0.25">
      <c r="A1761" s="6">
        <v>1760</v>
      </c>
      <c r="B1761" s="6" t="str">
        <f>HYPERLINK("https://www.kmpharma.in/product/23074","N-Nitroso-5-hydroxy pyrrolidone")</f>
        <v>N-Nitroso-5-hydroxy pyrrolidone</v>
      </c>
      <c r="C1761" s="6" t="str">
        <f>HYPERLINK("https://www.kmpharma.in/product/23074","KMN084076")</f>
        <v>KMN084076</v>
      </c>
      <c r="D1761" s="6" t="s">
        <v>7</v>
      </c>
      <c r="E1761" s="6" t="s">
        <v>16</v>
      </c>
    </row>
    <row r="1762" spans="1:5" x14ac:dyDescent="0.25">
      <c r="A1762" s="3">
        <v>1761</v>
      </c>
      <c r="B1762" s="3" t="str">
        <f>HYPERLINK("https://www.kmpharma.in/product/33029","N-Nitroso-8-Chlorotheophylline")</f>
        <v>N-Nitroso-8-Chlorotheophylline</v>
      </c>
      <c r="C1762" s="3" t="str">
        <f>HYPERLINK("https://www.kmpharma.in/product/33029","KMT001012")</f>
        <v>KMT001012</v>
      </c>
      <c r="D1762" s="3" t="s">
        <v>7</v>
      </c>
      <c r="E1762" s="5" t="s">
        <v>325</v>
      </c>
    </row>
    <row r="1763" spans="1:5" x14ac:dyDescent="0.25">
      <c r="A1763" s="6">
        <v>1762</v>
      </c>
      <c r="B1763" s="6" t="str">
        <f>HYPERLINK("https://www.kmpharma.in/product/723","N-Nitroso-Acebutolol")</f>
        <v>N-Nitroso-Acebutolol</v>
      </c>
      <c r="C1763" s="6" t="str">
        <f>HYPERLINK("https://www.kmpharma.in/product/723","KMA003016")</f>
        <v>KMA003016</v>
      </c>
      <c r="D1763" s="6" t="s">
        <v>7</v>
      </c>
      <c r="E1763" s="6" t="s">
        <v>16</v>
      </c>
    </row>
    <row r="1764" spans="1:5" x14ac:dyDescent="0.25">
      <c r="A1764" s="3">
        <v>1763</v>
      </c>
      <c r="B1764" s="3" t="str">
        <f>HYPERLINK("https://www.kmpharma.in/product/722","N-Nitroso-Acebutolol-d7")</f>
        <v>N-Nitroso-Acebutolol-d7</v>
      </c>
      <c r="C1764" s="3" t="str">
        <f>HYPERLINK("https://www.kmpharma.in/product/722","KMA003017")</f>
        <v>KMA003017</v>
      </c>
      <c r="D1764" s="3" t="s">
        <v>7</v>
      </c>
      <c r="E1764" s="3" t="s">
        <v>16</v>
      </c>
    </row>
    <row r="1765" spans="1:5" x14ac:dyDescent="0.25">
      <c r="A1765" s="6">
        <v>1764</v>
      </c>
      <c r="B1765" s="6" t="str">
        <f>HYPERLINK("https://www.kmpharma.in/product/1610","N-Nitroso-Ambroxol")</f>
        <v>N-Nitroso-Ambroxol</v>
      </c>
      <c r="C1765" s="6" t="str">
        <f>HYPERLINK("https://www.kmpharma.in/product/1610","KMA007022")</f>
        <v>KMA007022</v>
      </c>
      <c r="D1765" s="6" t="s">
        <v>7</v>
      </c>
      <c r="E1765" s="7" t="s">
        <v>323</v>
      </c>
    </row>
    <row r="1766" spans="1:5" x14ac:dyDescent="0.25">
      <c r="A1766" s="3">
        <v>1765</v>
      </c>
      <c r="B1766" s="3" t="str">
        <f>HYPERLINK("https://www.kmpharma.in/product/1797","N-Nitroso-Amoxapine")</f>
        <v>N-Nitroso-Amoxapine</v>
      </c>
      <c r="C1766" s="3" t="str">
        <f>HYPERLINK("https://www.kmpharma.in/product/1797","KMA128016")</f>
        <v>KMA128016</v>
      </c>
      <c r="D1766" s="3" t="s">
        <v>7</v>
      </c>
      <c r="E1766" s="5" t="s">
        <v>323</v>
      </c>
    </row>
    <row r="1767" spans="1:5" x14ac:dyDescent="0.25">
      <c r="A1767" s="6">
        <v>1766</v>
      </c>
      <c r="B1767" s="6" t="str">
        <f>HYPERLINK("https://www.kmpharma.in/product/2798","N-Nitroso-Atomoxetine")</f>
        <v>N-Nitroso-Atomoxetine</v>
      </c>
      <c r="C1767" s="6" t="str">
        <f>HYPERLINK("https://www.kmpharma.in/product/2798","KMA031033")</f>
        <v>KMA031033</v>
      </c>
      <c r="D1767" s="6" t="s">
        <v>7</v>
      </c>
      <c r="E1767" s="7" t="s">
        <v>323</v>
      </c>
    </row>
    <row r="1768" spans="1:5" x14ac:dyDescent="0.25">
      <c r="A1768" s="3">
        <v>1767</v>
      </c>
      <c r="B1768" s="3" t="str">
        <f>HYPERLINK("https://www.kmpharma.in/product/4123","N-Nitroso-Betahistine")</f>
        <v>N-Nitroso-Betahistine</v>
      </c>
      <c r="C1768" s="3" t="str">
        <f>HYPERLINK("https://www.kmpharma.in/product/4123","KMB006029")</f>
        <v>KMB006029</v>
      </c>
      <c r="D1768" s="3" t="s">
        <v>220</v>
      </c>
      <c r="E1768" s="5" t="s">
        <v>323</v>
      </c>
    </row>
    <row r="1769" spans="1:5" x14ac:dyDescent="0.25">
      <c r="A1769" s="6">
        <v>1768</v>
      </c>
      <c r="B1769" s="6" t="str">
        <f>HYPERLINK("https://www.kmpharma.in/product/4612","N-Nitroso-Bisoprolol")</f>
        <v>N-Nitroso-Bisoprolol</v>
      </c>
      <c r="C1769" s="6" t="str">
        <f>HYPERLINK("https://www.kmpharma.in/product/4612","KMB009066")</f>
        <v>KMB009066</v>
      </c>
      <c r="D1769" s="6" t="s">
        <v>221</v>
      </c>
      <c r="E1769" s="6" t="s">
        <v>16</v>
      </c>
    </row>
    <row r="1770" spans="1:5" x14ac:dyDescent="0.25">
      <c r="A1770" s="3">
        <v>1769</v>
      </c>
      <c r="B1770" s="3" t="str">
        <f>HYPERLINK("https://www.kmpharma.in/product/7491","N-Nitroso-Cinacalcet")</f>
        <v>N-Nitroso-Cinacalcet</v>
      </c>
      <c r="C1770" s="3" t="str">
        <f>HYPERLINK("https://www.kmpharma.in/product/7491","KMC008082")</f>
        <v>KMC008082</v>
      </c>
      <c r="D1770" s="3" t="s">
        <v>7</v>
      </c>
      <c r="E1770" s="5" t="s">
        <v>321</v>
      </c>
    </row>
    <row r="1771" spans="1:5" x14ac:dyDescent="0.25">
      <c r="A1771" s="6">
        <v>1770</v>
      </c>
      <c r="B1771" s="6" t="str">
        <f>HYPERLINK("https://www.kmpharma.in/product/8131","N-Nitroso-Clonidine")</f>
        <v>N-Nitroso-Clonidine</v>
      </c>
      <c r="C1771" s="6" t="str">
        <f>HYPERLINK("https://www.kmpharma.in/product/8131","KMC003031")</f>
        <v>KMC003031</v>
      </c>
      <c r="D1771" s="6" t="s">
        <v>7</v>
      </c>
      <c r="E1771" s="6" t="s">
        <v>16</v>
      </c>
    </row>
    <row r="1772" spans="1:5" x14ac:dyDescent="0.25">
      <c r="A1772" s="3">
        <v>1771</v>
      </c>
      <c r="B1772" s="3" t="str">
        <f>HYPERLINK("https://www.kmpharma.in/product/8412","N-Nitroso-Colestipol-1")</f>
        <v>N-Nitroso-Colestipol-1</v>
      </c>
      <c r="C1772" s="3" t="str">
        <f>HYPERLINK("https://www.kmpharma.in/product/8412","KMC219002")</f>
        <v>KMC219002</v>
      </c>
      <c r="D1772" s="3" t="s">
        <v>7</v>
      </c>
      <c r="E1772" s="5" t="s">
        <v>321</v>
      </c>
    </row>
    <row r="1773" spans="1:5" x14ac:dyDescent="0.25">
      <c r="A1773" s="6">
        <v>1772</v>
      </c>
      <c r="B1773" s="6" t="str">
        <f>HYPERLINK("https://www.kmpharma.in/product/8413","N-Nitroso-Colestipol-2")</f>
        <v>N-Nitroso-Colestipol-2</v>
      </c>
      <c r="C1773" s="6" t="str">
        <f>HYPERLINK("https://www.kmpharma.in/product/8413","KMC219003")</f>
        <v>KMC219003</v>
      </c>
      <c r="D1773" s="6" t="s">
        <v>7</v>
      </c>
      <c r="E1773" s="6" t="s">
        <v>16</v>
      </c>
    </row>
    <row r="1774" spans="1:5" x14ac:dyDescent="0.25">
      <c r="A1774" s="3">
        <v>1773</v>
      </c>
      <c r="B1774" s="3" t="str">
        <f>HYPERLINK("https://www.kmpharma.in/product/8414","N-Nitroso-Colestipol-3")</f>
        <v>N-Nitroso-Colestipol-3</v>
      </c>
      <c r="C1774" s="3" t="str">
        <f>HYPERLINK("https://www.kmpharma.in/product/8414","KMC219004")</f>
        <v>KMC219004</v>
      </c>
      <c r="D1774" s="3" t="s">
        <v>7</v>
      </c>
      <c r="E1774" s="5" t="s">
        <v>323</v>
      </c>
    </row>
    <row r="1775" spans="1:5" x14ac:dyDescent="0.25">
      <c r="A1775" s="6">
        <v>1774</v>
      </c>
      <c r="B1775" s="6" t="str">
        <f>HYPERLINK("https://www.kmpharma.in/product/8415","N-Nitroso-Colestipol-4")</f>
        <v>N-Nitroso-Colestipol-4</v>
      </c>
      <c r="C1775" s="6" t="str">
        <f>HYPERLINK("https://www.kmpharma.in/product/8415","KMC219005")</f>
        <v>KMC219005</v>
      </c>
      <c r="D1775" s="6" t="s">
        <v>7</v>
      </c>
      <c r="E1775" s="6" t="s">
        <v>16</v>
      </c>
    </row>
    <row r="1776" spans="1:5" x14ac:dyDescent="0.25">
      <c r="A1776" s="3">
        <v>1775</v>
      </c>
      <c r="B1776" s="3" t="str">
        <f>HYPERLINK("https://www.kmpharma.in/product/8416","N-Nitroso-Colestipol-5")</f>
        <v>N-Nitroso-Colestipol-5</v>
      </c>
      <c r="C1776" s="3" t="str">
        <f>HYPERLINK("https://www.kmpharma.in/product/8416","KMC219006")</f>
        <v>KMC219006</v>
      </c>
      <c r="D1776" s="3" t="s">
        <v>7</v>
      </c>
      <c r="E1776" s="5" t="s">
        <v>321</v>
      </c>
    </row>
    <row r="1777" spans="1:5" x14ac:dyDescent="0.25">
      <c r="A1777" s="6">
        <v>1776</v>
      </c>
      <c r="B1777" s="6" t="str">
        <f>HYPERLINK("https://www.kmpharma.in/product/25946","N-Nitroso-D,L-Pipecolic Acid")</f>
        <v>N-Nitroso-D,L-Pipecolic Acid</v>
      </c>
      <c r="C1777" s="6" t="str">
        <f>HYPERLINK("https://www.kmpharma.in/product/25946","KMP007006")</f>
        <v>KMP007006</v>
      </c>
      <c r="D1777" s="6" t="s">
        <v>222</v>
      </c>
      <c r="E1777" s="7" t="s">
        <v>322</v>
      </c>
    </row>
    <row r="1778" spans="1:5" x14ac:dyDescent="0.25">
      <c r="A1778" s="3">
        <v>1777</v>
      </c>
      <c r="B1778" s="3" t="str">
        <f>HYPERLINK("https://www.kmpharma.in/product/288","N-Nitroso-Desethyl Lidocaine")</f>
        <v>N-Nitroso-Desethyl Lidocaine</v>
      </c>
      <c r="C1778" s="3" t="str">
        <f>HYPERLINK("https://www.kmpharma.in/product/288","KML024001")</f>
        <v>KML024001</v>
      </c>
      <c r="D1778" s="3" t="s">
        <v>35</v>
      </c>
      <c r="E1778" s="5" t="s">
        <v>321</v>
      </c>
    </row>
    <row r="1779" spans="1:5" x14ac:dyDescent="0.25">
      <c r="A1779" s="6">
        <v>1778</v>
      </c>
      <c r="B1779" s="6" t="str">
        <f>HYPERLINK("https://www.kmpharma.in/product/12205","N-Nitroso-Desmethyl Erythromycin Ethyl Succinate")</f>
        <v>N-Nitroso-Desmethyl Erythromycin Ethyl Succinate</v>
      </c>
      <c r="C1779" s="6" t="str">
        <f>HYPERLINK("https://www.kmpharma.in/product/12205","KME001055")</f>
        <v>KME001055</v>
      </c>
      <c r="D1779" s="6" t="s">
        <v>7</v>
      </c>
      <c r="E1779" s="7" t="s">
        <v>323</v>
      </c>
    </row>
    <row r="1780" spans="1:5" x14ac:dyDescent="0.25">
      <c r="A1780" s="3">
        <v>1779</v>
      </c>
      <c r="B1780" s="3" t="str">
        <f>HYPERLINK("https://www.kmpharma.in/product/36636","N-Nitroso-Desmethyl Itopride")</f>
        <v>N-Nitroso-Desmethyl Itopride</v>
      </c>
      <c r="C1780" s="3" t="str">
        <f>HYPERLINK("https://www.kmpharma.in/product/36636","KMI011018")</f>
        <v>KMI011018</v>
      </c>
      <c r="D1780" s="3" t="s">
        <v>223</v>
      </c>
      <c r="E1780" s="5" t="s">
        <v>321</v>
      </c>
    </row>
    <row r="1781" spans="1:5" x14ac:dyDescent="0.25">
      <c r="A1781" s="6">
        <v>1780</v>
      </c>
      <c r="B1781" s="6" t="str">
        <f>HYPERLINK("https://www.kmpharma.in/product/289","N-Nitroso-Desmethyl-Amitriptyline")</f>
        <v>N-Nitroso-Desmethyl-Amitriptyline</v>
      </c>
      <c r="C1781" s="6" t="str">
        <f>HYPERLINK("https://www.kmpharma.in/product/289","KMA010001")</f>
        <v>KMA010001</v>
      </c>
      <c r="D1781" s="6" t="s">
        <v>173</v>
      </c>
      <c r="E1781" s="7" t="s">
        <v>321</v>
      </c>
    </row>
    <row r="1782" spans="1:5" x14ac:dyDescent="0.25">
      <c r="A1782" s="3">
        <v>1781</v>
      </c>
      <c r="B1782" s="3" t="str">
        <f>HYPERLINK("https://www.kmpharma.in/product/106","N-Nitroso-desmethyl-Desvenlafaxine")</f>
        <v>N-Nitroso-desmethyl-Desvenlafaxine</v>
      </c>
      <c r="C1782" s="3" t="str">
        <f>HYPERLINK("https://www.kmpharma.in/product/106","KMD002001")</f>
        <v>KMD002001</v>
      </c>
      <c r="D1782" s="3" t="s">
        <v>35</v>
      </c>
      <c r="E1782" s="5" t="s">
        <v>323</v>
      </c>
    </row>
    <row r="1783" spans="1:5" x14ac:dyDescent="0.25">
      <c r="A1783" s="6">
        <v>1782</v>
      </c>
      <c r="B1783" s="6" t="str">
        <f>HYPERLINK("https://www.kmpharma.in/product/210","N-Nitroso-Desmethyl-Doxycycline")</f>
        <v>N-Nitroso-Desmethyl-Doxycycline</v>
      </c>
      <c r="C1783" s="6" t="str">
        <f>HYPERLINK("https://www.kmpharma.in/product/210","KMD013001")</f>
        <v>KMD013001</v>
      </c>
      <c r="D1783" s="6" t="s">
        <v>35</v>
      </c>
      <c r="E1783" s="7" t="s">
        <v>323</v>
      </c>
    </row>
    <row r="1784" spans="1:5" x14ac:dyDescent="0.25">
      <c r="A1784" s="3">
        <v>1783</v>
      </c>
      <c r="B1784" s="3" t="str">
        <f>HYPERLINK("https://www.kmpharma.in/product/12237","N-Nitroso-Desmethyl-Escitalopram")</f>
        <v>N-Nitroso-Desmethyl-Escitalopram</v>
      </c>
      <c r="C1784" s="3" t="str">
        <f>HYPERLINK("https://www.kmpharma.in/product/12237","KME004042")</f>
        <v>KME004042</v>
      </c>
      <c r="D1784" s="3" t="s">
        <v>7</v>
      </c>
      <c r="E1784" s="5" t="s">
        <v>322</v>
      </c>
    </row>
    <row r="1785" spans="1:5" x14ac:dyDescent="0.25">
      <c r="A1785" s="6">
        <v>1784</v>
      </c>
      <c r="B1785" s="6" t="str">
        <f>HYPERLINK("https://www.kmpharma.in/product/36552","N-Nitroso-Desmethyl-Ibandronate")</f>
        <v>N-Nitroso-Desmethyl-Ibandronate</v>
      </c>
      <c r="C1785" s="6" t="str">
        <f>HYPERLINK("https://www.kmpharma.in/product/36552","KMI015017")</f>
        <v>KMI015017</v>
      </c>
      <c r="D1785" s="6" t="s">
        <v>7</v>
      </c>
      <c r="E1785" s="7" t="s">
        <v>322</v>
      </c>
    </row>
    <row r="1786" spans="1:5" x14ac:dyDescent="0.25">
      <c r="A1786" s="3">
        <v>1785</v>
      </c>
      <c r="B1786" s="3" t="str">
        <f>HYPERLINK("https://www.kmpharma.in/product/105","N-Nitroso-desmethyl-Venlafaxine")</f>
        <v>N-Nitroso-desmethyl-Venlafaxine</v>
      </c>
      <c r="C1786" s="3" t="str">
        <f>HYPERLINK("https://www.kmpharma.in/product/105","KMV001001")</f>
        <v>KMV001001</v>
      </c>
      <c r="D1786" s="3" t="s">
        <v>213</v>
      </c>
      <c r="E1786" s="5" t="s">
        <v>323</v>
      </c>
    </row>
    <row r="1787" spans="1:5" x14ac:dyDescent="0.25">
      <c r="A1787" s="6">
        <v>1786</v>
      </c>
      <c r="B1787" s="6" t="str">
        <f>HYPERLINK("https://www.kmpharma.in/product/110","N-Nitroso-desmethyl-Verapamil")</f>
        <v>N-Nitroso-desmethyl-Verapamil</v>
      </c>
      <c r="C1787" s="6" t="str">
        <f>HYPERLINK("https://www.kmpharma.in/product/110","KMV002001")</f>
        <v>KMV002001</v>
      </c>
      <c r="D1787" s="6" t="s">
        <v>35</v>
      </c>
      <c r="E1787" s="6" t="s">
        <v>16</v>
      </c>
    </row>
    <row r="1788" spans="1:5" x14ac:dyDescent="0.25">
      <c r="A1788" s="3">
        <v>1787</v>
      </c>
      <c r="B1788" s="3" t="str">
        <f>HYPERLINK("https://www.kmpharma.in/product/22918","N-Nitroso-Di-n-Butylamine D9")</f>
        <v>N-Nitroso-Di-n-Butylamine D9</v>
      </c>
      <c r="C1788" s="3" t="str">
        <f>HYPERLINK("https://www.kmpharma.in/product/22918","KMN084077")</f>
        <v>KMN084077</v>
      </c>
      <c r="D1788" s="3" t="s">
        <v>224</v>
      </c>
      <c r="E1788" s="5" t="s">
        <v>321</v>
      </c>
    </row>
    <row r="1789" spans="1:5" x14ac:dyDescent="0.25">
      <c r="A1789" s="6">
        <v>1788</v>
      </c>
      <c r="B1789" s="6" t="str">
        <f>HYPERLINK("https://www.kmpharma.in/product/23075","N-Nitroso-Ditertbutylamine")</f>
        <v>N-Nitroso-Ditertbutylamine</v>
      </c>
      <c r="C1789" s="6" t="str">
        <f>HYPERLINK("https://www.kmpharma.in/product/23075","KMN084078")</f>
        <v>KMN084078</v>
      </c>
      <c r="D1789" s="6" t="s">
        <v>225</v>
      </c>
      <c r="E1789" s="6" t="s">
        <v>16</v>
      </c>
    </row>
    <row r="1790" spans="1:5" x14ac:dyDescent="0.25">
      <c r="A1790" s="3">
        <v>1789</v>
      </c>
      <c r="B1790" s="3" t="str">
        <f>HYPERLINK("https://www.kmpharma.in/product/22970","N-Nitroso-DL-Methamphetamine")</f>
        <v>N-Nitroso-DL-Methamphetamine</v>
      </c>
      <c r="C1790" s="3" t="str">
        <f>HYPERLINK("https://www.kmpharma.in/product/22970","KMN084079")</f>
        <v>KMN084079</v>
      </c>
      <c r="D1790" s="3" t="s">
        <v>226</v>
      </c>
      <c r="E1790" s="5" t="s">
        <v>321</v>
      </c>
    </row>
    <row r="1791" spans="1:5" x14ac:dyDescent="0.25">
      <c r="A1791" s="6">
        <v>1790</v>
      </c>
      <c r="B1791" s="6" t="str">
        <f>HYPERLINK("https://www.kmpharma.in/product/10856","N-Nitroso-Drotaverine")</f>
        <v>N-Nitroso-Drotaverine</v>
      </c>
      <c r="C1791" s="6" t="str">
        <f>HYPERLINK("https://www.kmpharma.in/product/10856","KMD169009")</f>
        <v>KMD169009</v>
      </c>
      <c r="D1791" s="6" t="s">
        <v>7</v>
      </c>
      <c r="E1791" s="7" t="s">
        <v>321</v>
      </c>
    </row>
    <row r="1792" spans="1:5" x14ac:dyDescent="0.25">
      <c r="A1792" s="3">
        <v>1791</v>
      </c>
      <c r="B1792" s="3" t="str">
        <f>HYPERLINK("https://www.kmpharma.in/product/13291","N-Nitroso-Felodipine")</f>
        <v>N-Nitroso-Felodipine</v>
      </c>
      <c r="C1792" s="3" t="str">
        <f>HYPERLINK("https://www.kmpharma.in/product/13291","KMF022010")</f>
        <v>KMF022010</v>
      </c>
      <c r="D1792" s="3" t="s">
        <v>7</v>
      </c>
      <c r="E1792" s="5" t="s">
        <v>321</v>
      </c>
    </row>
    <row r="1793" spans="1:5" x14ac:dyDescent="0.25">
      <c r="A1793" s="6">
        <v>1792</v>
      </c>
      <c r="B1793" s="6" t="str">
        <f>HYPERLINK("https://www.kmpharma.in/product/13292","N-Nitroso-Felodipine EP Impurity B")</f>
        <v>N-Nitroso-Felodipine EP Impurity B</v>
      </c>
      <c r="C1793" s="6" t="str">
        <f>HYPERLINK("https://www.kmpharma.in/product/13292","KMF022011")</f>
        <v>KMF022011</v>
      </c>
      <c r="D1793" s="6" t="s">
        <v>7</v>
      </c>
      <c r="E1793" s="7" t="s">
        <v>321</v>
      </c>
    </row>
    <row r="1794" spans="1:5" x14ac:dyDescent="0.25">
      <c r="A1794" s="3">
        <v>1793</v>
      </c>
      <c r="B1794" s="3" t="str">
        <f>HYPERLINK("https://www.kmpharma.in/product/13293","N-Nitroso-Felodipine EP Impurity C")</f>
        <v>N-Nitroso-Felodipine EP Impurity C</v>
      </c>
      <c r="C1794" s="3" t="str">
        <f>HYPERLINK("https://www.kmpharma.in/product/13293","KMF022012")</f>
        <v>KMF022012</v>
      </c>
      <c r="D1794" s="3" t="s">
        <v>7</v>
      </c>
      <c r="E1794" s="5" t="s">
        <v>321</v>
      </c>
    </row>
    <row r="1795" spans="1:5" x14ac:dyDescent="0.25">
      <c r="A1795" s="6">
        <v>1794</v>
      </c>
      <c r="B1795" s="6" t="str">
        <f>HYPERLINK("https://www.kmpharma.in/product/13294","N-Nitroso-Felodipine Impurity 1")</f>
        <v>N-Nitroso-Felodipine Impurity 1</v>
      </c>
      <c r="C1795" s="6" t="str">
        <f>HYPERLINK("https://www.kmpharma.in/product/13294","KMF022013")</f>
        <v>KMF022013</v>
      </c>
      <c r="D1795" s="6" t="s">
        <v>7</v>
      </c>
      <c r="E1795" s="7" t="s">
        <v>321</v>
      </c>
    </row>
    <row r="1796" spans="1:5" x14ac:dyDescent="0.25">
      <c r="A1796" s="3">
        <v>1795</v>
      </c>
      <c r="B1796" s="3" t="str">
        <f>HYPERLINK("https://www.kmpharma.in/product/13295","N-Nitroso-Felodipine Impurity 2")</f>
        <v>N-Nitroso-Felodipine Impurity 2</v>
      </c>
      <c r="C1796" s="3" t="str">
        <f>HYPERLINK("https://www.kmpharma.in/product/13295","KMF022014")</f>
        <v>KMF022014</v>
      </c>
      <c r="D1796" s="3" t="s">
        <v>7</v>
      </c>
      <c r="E1796" s="5" t="s">
        <v>321</v>
      </c>
    </row>
    <row r="1797" spans="1:5" x14ac:dyDescent="0.25">
      <c r="A1797" s="6">
        <v>1796</v>
      </c>
      <c r="B1797" s="6" t="str">
        <f>HYPERLINK("https://www.kmpharma.in/product/13296","N-Nitroso-Felodipine Impurity 3")</f>
        <v>N-Nitroso-Felodipine Impurity 3</v>
      </c>
      <c r="C1797" s="6" t="str">
        <f>HYPERLINK("https://www.kmpharma.in/product/13296","KMF022015")</f>
        <v>KMF022015</v>
      </c>
      <c r="D1797" s="6" t="s">
        <v>7</v>
      </c>
      <c r="E1797" s="7" t="s">
        <v>321</v>
      </c>
    </row>
    <row r="1798" spans="1:5" x14ac:dyDescent="0.25">
      <c r="A1798" s="3">
        <v>1797</v>
      </c>
      <c r="B1798" s="3" t="str">
        <f>HYPERLINK("https://www.kmpharma.in/product/14042","N-Nitroso-Fluoxetine")</f>
        <v>N-Nitroso-Fluoxetine</v>
      </c>
      <c r="C1798" s="3" t="str">
        <f>HYPERLINK("https://www.kmpharma.in/product/14042","KMF001040")</f>
        <v>KMF001040</v>
      </c>
      <c r="D1798" s="3" t="s">
        <v>227</v>
      </c>
      <c r="E1798" s="5" t="s">
        <v>321</v>
      </c>
    </row>
    <row r="1799" spans="1:5" x14ac:dyDescent="0.25">
      <c r="A1799" s="6">
        <v>1798</v>
      </c>
      <c r="B1799" s="6" t="str">
        <f>HYPERLINK("https://www.kmpharma.in/product/23046","N-Nitroso-Formimidamide")</f>
        <v>N-Nitroso-Formimidamide</v>
      </c>
      <c r="C1799" s="6" t="str">
        <f>HYPERLINK("https://www.kmpharma.in/product/23046","KMN084080")</f>
        <v>KMN084080</v>
      </c>
      <c r="D1799" s="6" t="s">
        <v>228</v>
      </c>
      <c r="E1799" s="7" t="s">
        <v>321</v>
      </c>
    </row>
    <row r="1800" spans="1:5" x14ac:dyDescent="0.25">
      <c r="A1800" s="3">
        <v>1799</v>
      </c>
      <c r="B1800" s="3" t="str">
        <f>HYPERLINK("https://www.kmpharma.in/product/14723","N-Nitroso-Furosemide")</f>
        <v>N-Nitroso-Furosemide</v>
      </c>
      <c r="C1800" s="3" t="str">
        <f>HYPERLINK("https://www.kmpharma.in/product/14723","KMF002025")</f>
        <v>KMF002025</v>
      </c>
      <c r="D1800" s="3" t="s">
        <v>7</v>
      </c>
      <c r="E1800" s="5" t="s">
        <v>323</v>
      </c>
    </row>
    <row r="1801" spans="1:5" x14ac:dyDescent="0.25">
      <c r="A1801" s="6">
        <v>1800</v>
      </c>
      <c r="B1801" s="6" t="str">
        <f>HYPERLINK("https://www.kmpharma.in/product/15867","N-Nitroso-Hydroflumethiazide")</f>
        <v>N-Nitroso-Hydroflumethiazide</v>
      </c>
      <c r="C1801" s="6" t="str">
        <f>HYPERLINK("https://www.kmpharma.in/product/15867","KMH033002")</f>
        <v>KMH033002</v>
      </c>
      <c r="D1801" s="6" t="s">
        <v>7</v>
      </c>
      <c r="E1801" s="6" t="s">
        <v>16</v>
      </c>
    </row>
    <row r="1802" spans="1:5" x14ac:dyDescent="0.25">
      <c r="A1802" s="3">
        <v>1801</v>
      </c>
      <c r="B1802" s="3" t="str">
        <f>HYPERLINK("https://www.kmpharma.in/product/15954","N-Nitroso-Hydroxychloroquine")</f>
        <v>N-Nitroso-Hydroxychloroquine</v>
      </c>
      <c r="C1802" s="3" t="str">
        <f>HYPERLINK("https://www.kmpharma.in/product/15954","KMH004063")</f>
        <v>KMH004063</v>
      </c>
      <c r="D1802" s="3" t="s">
        <v>7</v>
      </c>
      <c r="E1802" s="5" t="s">
        <v>323</v>
      </c>
    </row>
    <row r="1803" spans="1:5" x14ac:dyDescent="0.25">
      <c r="A1803" s="6">
        <v>1802</v>
      </c>
      <c r="B1803" s="6" t="str">
        <f>HYPERLINK("https://www.kmpharma.in/product/23047","N-Nitroso-L-Hydroxyproline")</f>
        <v>N-Nitroso-L-Hydroxyproline</v>
      </c>
      <c r="C1803" s="6" t="str">
        <f>HYPERLINK("https://www.kmpharma.in/product/23047","KMN084081")</f>
        <v>KMN084081</v>
      </c>
      <c r="D1803" s="6" t="s">
        <v>229</v>
      </c>
      <c r="E1803" s="7" t="s">
        <v>321</v>
      </c>
    </row>
    <row r="1804" spans="1:5" x14ac:dyDescent="0.25">
      <c r="A1804" s="3">
        <v>1803</v>
      </c>
      <c r="B1804" s="3" t="str">
        <f>HYPERLINK("https://www.kmpharma.in/product/17463","N-Nitroso-Lacidipine")</f>
        <v>N-Nitroso-Lacidipine</v>
      </c>
      <c r="C1804" s="3" t="str">
        <f>HYPERLINK("https://www.kmpharma.in/product/17463","KML028007")</f>
        <v>KML028007</v>
      </c>
      <c r="D1804" s="3" t="s">
        <v>7</v>
      </c>
      <c r="E1804" s="3" t="s">
        <v>16</v>
      </c>
    </row>
    <row r="1805" spans="1:5" x14ac:dyDescent="0.25">
      <c r="A1805" s="6">
        <v>1804</v>
      </c>
      <c r="B1805" s="6" t="str">
        <f>HYPERLINK("https://www.kmpharma.in/product/211","N-Nitroso-leucovorin-2")</f>
        <v>N-Nitroso-leucovorin-2</v>
      </c>
      <c r="C1805" s="6" t="str">
        <f>HYPERLINK("https://www.kmpharma.in/product/211","KML023001")</f>
        <v>KML023001</v>
      </c>
      <c r="D1805" s="6" t="s">
        <v>35</v>
      </c>
      <c r="E1805" s="6" t="s">
        <v>16</v>
      </c>
    </row>
    <row r="1806" spans="1:5" x14ac:dyDescent="0.25">
      <c r="A1806" s="3">
        <v>1805</v>
      </c>
      <c r="B1806" s="3" t="str">
        <f>HYPERLINK("https://www.kmpharma.in/product/18375","N-Nitroso-Levofloxacin impurity-2")</f>
        <v>N-Nitroso-Levofloxacin impurity-2</v>
      </c>
      <c r="C1806" s="3" t="str">
        <f>HYPERLINK("https://www.kmpharma.in/product/18375","KML009035")</f>
        <v>KML009035</v>
      </c>
      <c r="D1806" s="3" t="s">
        <v>7</v>
      </c>
      <c r="E1806" s="3" t="s">
        <v>16</v>
      </c>
    </row>
    <row r="1807" spans="1:5" x14ac:dyDescent="0.25">
      <c r="A1807" s="6">
        <v>1806</v>
      </c>
      <c r="B1807" s="6" t="str">
        <f>HYPERLINK("https://www.kmpharma.in/product/19790","N-Nitroso-Maprotiline")</f>
        <v>N-Nitroso-Maprotiline</v>
      </c>
      <c r="C1807" s="6" t="str">
        <f>HYPERLINK("https://www.kmpharma.in/product/19790","KMM032008")</f>
        <v>KMM032008</v>
      </c>
      <c r="D1807" s="6" t="s">
        <v>230</v>
      </c>
      <c r="E1807" s="7" t="s">
        <v>323</v>
      </c>
    </row>
    <row r="1808" spans="1:5" x14ac:dyDescent="0.25">
      <c r="A1808" s="3">
        <v>1807</v>
      </c>
      <c r="B1808" s="3" t="str">
        <f>HYPERLINK("https://www.kmpharma.in/product/20034","N-Nitroso-Meglumine")</f>
        <v>N-Nitroso-Meglumine</v>
      </c>
      <c r="C1808" s="3" t="str">
        <f>HYPERLINK("https://www.kmpharma.in/product/20034","KMM057003")</f>
        <v>KMM057003</v>
      </c>
      <c r="D1808" s="3" t="s">
        <v>231</v>
      </c>
      <c r="E1808" s="3" t="s">
        <v>16</v>
      </c>
    </row>
    <row r="1809" spans="1:5" x14ac:dyDescent="0.25">
      <c r="A1809" s="6">
        <v>1808</v>
      </c>
      <c r="B1809" s="6" t="str">
        <f>HYPERLINK("https://www.kmpharma.in/product/20037","N-Nitroso-Meglumine-13CD3")</f>
        <v>N-Nitroso-Meglumine-13CD3</v>
      </c>
      <c r="C1809" s="6" t="str">
        <f>HYPERLINK("https://www.kmpharma.in/product/20037","KMM057004")</f>
        <v>KMM057004</v>
      </c>
      <c r="D1809" s="6" t="s">
        <v>7</v>
      </c>
      <c r="E1809" s="6" t="s">
        <v>16</v>
      </c>
    </row>
    <row r="1810" spans="1:5" x14ac:dyDescent="0.25">
      <c r="A1810" s="3">
        <v>1809</v>
      </c>
      <c r="B1810" s="3" t="str">
        <f>HYPERLINK("https://www.kmpharma.in/product/20035","N-Nitroso-Meglumine-D3")</f>
        <v>N-Nitroso-Meglumine-D3</v>
      </c>
      <c r="C1810" s="3" t="str">
        <f>HYPERLINK("https://www.kmpharma.in/product/20035","KMM057005")</f>
        <v>KMM057005</v>
      </c>
      <c r="D1810" s="3" t="s">
        <v>7</v>
      </c>
      <c r="E1810" s="3" t="s">
        <v>16</v>
      </c>
    </row>
    <row r="1811" spans="1:5" x14ac:dyDescent="0.25">
      <c r="A1811" s="6">
        <v>1810</v>
      </c>
      <c r="B1811" s="6" t="str">
        <f>HYPERLINK("https://www.kmpharma.in/product/21665","N-Nitroso-Moxonidine Impurity 1")</f>
        <v>N-Nitroso-Moxonidine Impurity 1</v>
      </c>
      <c r="C1811" s="6" t="str">
        <f>HYPERLINK("https://www.kmpharma.in/product/21665","KMM173018")</f>
        <v>KMM173018</v>
      </c>
      <c r="D1811" s="6" t="s">
        <v>7</v>
      </c>
      <c r="E1811" s="7" t="s">
        <v>321</v>
      </c>
    </row>
    <row r="1812" spans="1:5" x14ac:dyDescent="0.25">
      <c r="A1812" s="3">
        <v>1811</v>
      </c>
      <c r="B1812" s="3" t="str">
        <f>HYPERLINK("https://www.kmpharma.in/product/21666","N-Nitroso-Moxonidine Impurity 2")</f>
        <v>N-Nitroso-Moxonidine Impurity 2</v>
      </c>
      <c r="C1812" s="3" t="str">
        <f>HYPERLINK("https://www.kmpharma.in/product/21666","KMM173019")</f>
        <v>KMM173019</v>
      </c>
      <c r="D1812" s="3" t="s">
        <v>7</v>
      </c>
      <c r="E1812" s="3" t="s">
        <v>16</v>
      </c>
    </row>
    <row r="1813" spans="1:5" x14ac:dyDescent="0.25">
      <c r="A1813" s="6">
        <v>1812</v>
      </c>
      <c r="B1813" s="6" t="str">
        <f>HYPERLINK("https://www.kmpharma.in/product/23049","N-Nitroso-N-(phosphonomethyl)glycine")</f>
        <v>N-Nitroso-N-(phosphonomethyl)glycine</v>
      </c>
      <c r="C1813" s="6" t="str">
        <f>HYPERLINK("https://www.kmpharma.in/product/23049","KMN084082")</f>
        <v>KMN084082</v>
      </c>
      <c r="D1813" s="6" t="s">
        <v>232</v>
      </c>
      <c r="E1813" s="7" t="s">
        <v>321</v>
      </c>
    </row>
    <row r="1814" spans="1:5" x14ac:dyDescent="0.25">
      <c r="A1814" s="3">
        <v>1813</v>
      </c>
      <c r="B1814" s="3" t="str">
        <f>HYPERLINK("https://www.kmpharma.in/product/22973","N-Nitroso-N-Benzyl Anthranilic Acid")</f>
        <v>N-Nitroso-N-Benzyl Anthranilic Acid</v>
      </c>
      <c r="C1814" s="3" t="str">
        <f>HYPERLINK("https://www.kmpharma.in/product/22973","KMN084083")</f>
        <v>KMN084083</v>
      </c>
      <c r="D1814" s="3" t="s">
        <v>233</v>
      </c>
      <c r="E1814" s="5" t="s">
        <v>321</v>
      </c>
    </row>
    <row r="1815" spans="1:5" x14ac:dyDescent="0.25">
      <c r="A1815" s="6">
        <v>1814</v>
      </c>
      <c r="B1815" s="6" t="str">
        <f>HYPERLINK("https://www.kmpharma.in/product/4645","N-Nitroso-N-Desethyl Blonanserin")</f>
        <v>N-Nitroso-N-Desethyl Blonanserin</v>
      </c>
      <c r="C1815" s="6" t="str">
        <f>HYPERLINK("https://www.kmpharma.in/product/4645","KMB017004")</f>
        <v>KMB017004</v>
      </c>
      <c r="D1815" s="6" t="s">
        <v>7</v>
      </c>
      <c r="E1815" s="7" t="s">
        <v>321</v>
      </c>
    </row>
    <row r="1816" spans="1:5" x14ac:dyDescent="0.25">
      <c r="A1816" s="3">
        <v>1815</v>
      </c>
      <c r="B1816" s="3" t="str">
        <f>HYPERLINK("https://www.kmpharma.in/product/8934","N-Nitroso-N-Desmethyl Dapoxetine")</f>
        <v>N-Nitroso-N-Desmethyl Dapoxetine</v>
      </c>
      <c r="C1816" s="3" t="str">
        <f>HYPERLINK("https://www.kmpharma.in/product/8934","KMD042021")</f>
        <v>KMD042021</v>
      </c>
      <c r="D1816" s="3" t="s">
        <v>7</v>
      </c>
      <c r="E1816" s="5" t="s">
        <v>321</v>
      </c>
    </row>
    <row r="1817" spans="1:5" x14ac:dyDescent="0.25">
      <c r="A1817" s="6">
        <v>1816</v>
      </c>
      <c r="B1817" s="6" t="str">
        <f>HYPERLINK("https://www.kmpharma.in/product/10756","N-Nitroso-N-Desmethyl Doxycycline")</f>
        <v>N-Nitroso-N-Desmethyl Doxycycline</v>
      </c>
      <c r="C1817" s="6" t="str">
        <f>HYPERLINK("https://www.kmpharma.in/product/10756","KMD013019")</f>
        <v>KMD013019</v>
      </c>
      <c r="D1817" s="6" t="s">
        <v>7</v>
      </c>
      <c r="E1817" s="7" t="s">
        <v>323</v>
      </c>
    </row>
    <row r="1818" spans="1:5" x14ac:dyDescent="0.25">
      <c r="A1818" s="3">
        <v>1817</v>
      </c>
      <c r="B1818" s="3" t="str">
        <f>HYPERLINK("https://www.kmpharma.in/product/24298","N-Nitroso-N-Desmethyl Oxytetracycline")</f>
        <v>N-Nitroso-N-Desmethyl Oxytetracycline</v>
      </c>
      <c r="C1818" s="3" t="str">
        <f>HYPERLINK("https://www.kmpharma.in/product/24298","KMO072002")</f>
        <v>KMO072002</v>
      </c>
      <c r="D1818" s="3" t="s">
        <v>7</v>
      </c>
      <c r="E1818" s="5" t="s">
        <v>323</v>
      </c>
    </row>
    <row r="1819" spans="1:5" x14ac:dyDescent="0.25">
      <c r="A1819" s="6">
        <v>1818</v>
      </c>
      <c r="B1819" s="6" t="str">
        <f>HYPERLINK("https://www.kmpharma.in/product/34629","N-Nitroso-N-Desmethyl Trimethobenzamide")</f>
        <v>N-Nitroso-N-Desmethyl Trimethobenzamide</v>
      </c>
      <c r="C1819" s="6" t="str">
        <f>HYPERLINK("https://www.kmpharma.in/product/34629","KMT190002")</f>
        <v>KMT190002</v>
      </c>
      <c r="D1819" s="6" t="s">
        <v>7</v>
      </c>
      <c r="E1819" s="6" t="s">
        <v>16</v>
      </c>
    </row>
    <row r="1820" spans="1:5" x14ac:dyDescent="0.25">
      <c r="A1820" s="3">
        <v>1819</v>
      </c>
      <c r="B1820" s="3" t="str">
        <f>HYPERLINK("https://www.kmpharma.in/product/7722","N-Nitroso-N-Desmethyl-Clarithromycin")</f>
        <v>N-Nitroso-N-Desmethyl-Clarithromycin</v>
      </c>
      <c r="C1820" s="3" t="str">
        <f>HYPERLINK("https://www.kmpharma.in/product/7722","KMC181025")</f>
        <v>KMC181025</v>
      </c>
      <c r="D1820" s="3" t="s">
        <v>7</v>
      </c>
      <c r="E1820" s="3" t="s">
        <v>16</v>
      </c>
    </row>
    <row r="1821" spans="1:5" x14ac:dyDescent="0.25">
      <c r="A1821" s="6">
        <v>1820</v>
      </c>
      <c r="B1821" s="6" t="str">
        <f>HYPERLINK("https://www.kmpharma.in/product/9620","N-Nitroso-N-Desmethyl-Desvenlafaxine-D3")</f>
        <v>N-Nitroso-N-Desmethyl-Desvenlafaxine-D3</v>
      </c>
      <c r="C1821" s="6" t="str">
        <f>HYPERLINK("https://www.kmpharma.in/product/9620","KMD002021")</f>
        <v>KMD002021</v>
      </c>
      <c r="D1821" s="6" t="s">
        <v>7</v>
      </c>
      <c r="E1821" s="7" t="s">
        <v>322</v>
      </c>
    </row>
    <row r="1822" spans="1:5" x14ac:dyDescent="0.25">
      <c r="A1822" s="3">
        <v>1821</v>
      </c>
      <c r="B1822" s="3" t="str">
        <f>HYPERLINK("https://www.kmpharma.in/product/10765","N-Nitroso-N-Desmethyl-Doxylamine-D5")</f>
        <v>N-Nitroso-N-Desmethyl-Doxylamine-D5</v>
      </c>
      <c r="C1822" s="3" t="str">
        <f>HYPERLINK("https://www.kmpharma.in/product/10765","KMD017023")</f>
        <v>KMD017023</v>
      </c>
      <c r="D1822" s="3" t="s">
        <v>7</v>
      </c>
      <c r="E1822" s="5" t="s">
        <v>321</v>
      </c>
    </row>
    <row r="1823" spans="1:5" x14ac:dyDescent="0.25">
      <c r="A1823" s="6">
        <v>1822</v>
      </c>
      <c r="B1823" s="6" t="str">
        <f>HYPERLINK("https://www.kmpharma.in/product/22714","N-Nitroso-N-Desmethylnintedanib")</f>
        <v>N-Nitroso-N-Desmethylnintedanib</v>
      </c>
      <c r="C1823" s="6" t="str">
        <f>HYPERLINK("https://www.kmpharma.in/product/22714","KMN002013")</f>
        <v>KMN002013</v>
      </c>
      <c r="D1823" s="6" t="s">
        <v>7</v>
      </c>
      <c r="E1823" s="7" t="s">
        <v>322</v>
      </c>
    </row>
    <row r="1824" spans="1:5" x14ac:dyDescent="0.25">
      <c r="A1824" s="3">
        <v>1823</v>
      </c>
      <c r="B1824" s="3" t="str">
        <f>HYPERLINK("https://www.kmpharma.in/product/22974","N-Nitroso-N-Ethyl piperazine")</f>
        <v>N-Nitroso-N-Ethyl piperazine</v>
      </c>
      <c r="C1824" s="3" t="str">
        <f>HYPERLINK("https://www.kmpharma.in/product/22974","KMN084084")</f>
        <v>KMN084084</v>
      </c>
      <c r="D1824" s="3" t="s">
        <v>234</v>
      </c>
      <c r="E1824" s="3" t="s">
        <v>16</v>
      </c>
    </row>
    <row r="1825" spans="1:5" x14ac:dyDescent="0.25">
      <c r="A1825" s="6">
        <v>1824</v>
      </c>
      <c r="B1825" s="6" t="str">
        <f>HYPERLINK("https://www.kmpharma.in/product/22975","N-Nitroso-N-Ethylaniline")</f>
        <v>N-Nitroso-N-Ethylaniline</v>
      </c>
      <c r="C1825" s="6" t="str">
        <f>HYPERLINK("https://www.kmpharma.in/product/22975","KMN084085")</f>
        <v>KMN084085</v>
      </c>
      <c r="D1825" s="6" t="s">
        <v>235</v>
      </c>
      <c r="E1825" s="7" t="s">
        <v>321</v>
      </c>
    </row>
    <row r="1826" spans="1:5" x14ac:dyDescent="0.25">
      <c r="A1826" s="3">
        <v>1825</v>
      </c>
      <c r="B1826" s="3" t="str">
        <f>HYPERLINK("https://www.kmpharma.in/product/23050","N-Nitroso-N-Methyl-3-Aminopropionic Acid-D3")</f>
        <v>N-Nitroso-N-Methyl-3-Aminopropionic Acid-D3</v>
      </c>
      <c r="C1826" s="3" t="str">
        <f>HYPERLINK("https://www.kmpharma.in/product/23050","KMN084086")</f>
        <v>KMN084086</v>
      </c>
      <c r="D1826" s="3" t="s">
        <v>236</v>
      </c>
      <c r="E1826" s="5" t="s">
        <v>321</v>
      </c>
    </row>
    <row r="1827" spans="1:5" x14ac:dyDescent="0.25">
      <c r="A1827" s="6">
        <v>1826</v>
      </c>
      <c r="B1827" s="6" t="str">
        <f>HYPERLINK("https://www.kmpharma.in/product/39130","N-Nitroso-N-Methyl-4-Aminobutyric Acid")</f>
        <v>N-Nitroso-N-Methyl-4-Aminobutyric Acid</v>
      </c>
      <c r="C1827" s="6" t="str">
        <f>HYPERLINK("https://www.kmpharma.in/product/39130","KMV008016")</f>
        <v>KMV008016</v>
      </c>
      <c r="D1827" s="6" t="s">
        <v>237</v>
      </c>
      <c r="E1827" s="7" t="s">
        <v>323</v>
      </c>
    </row>
    <row r="1828" spans="1:5" x14ac:dyDescent="0.25">
      <c r="A1828" s="3">
        <v>1827</v>
      </c>
      <c r="B1828" s="3" t="str">
        <f>HYPERLINK("https://www.kmpharma.in/product/283","N-Nitroso-N-methyl-4-aminobutyric acid (NMBA)")</f>
        <v>N-Nitroso-N-methyl-4-aminobutyric acid (NMBA)</v>
      </c>
      <c r="C1828" s="3" t="str">
        <f>HYPERLINK("https://www.kmpharma.in/product/283","KMN001015")</f>
        <v>KMN001015</v>
      </c>
      <c r="D1828" s="3" t="s">
        <v>237</v>
      </c>
      <c r="E1828" s="3" t="s">
        <v>16</v>
      </c>
    </row>
    <row r="1829" spans="1:5" x14ac:dyDescent="0.25">
      <c r="A1829" s="6">
        <v>1828</v>
      </c>
      <c r="B1829" s="6" t="str">
        <f>HYPERLINK("https://www.kmpharma.in/product/39119","N-Nitroso-N-Methyl-4-Aminobutyric Acid-d3")</f>
        <v>N-Nitroso-N-Methyl-4-Aminobutyric Acid-d3</v>
      </c>
      <c r="C1829" s="6" t="str">
        <f>HYPERLINK("https://www.kmpharma.in/product/39119","KMV008017")</f>
        <v>KMV008017</v>
      </c>
      <c r="D1829" s="6" t="s">
        <v>238</v>
      </c>
      <c r="E1829" s="6" t="s">
        <v>16</v>
      </c>
    </row>
    <row r="1830" spans="1:5" x14ac:dyDescent="0.25">
      <c r="A1830" s="3">
        <v>1829</v>
      </c>
      <c r="B1830" s="3" t="str">
        <f>HYPERLINK("https://www.kmpharma.in/product/22977","N-Nitroso-N-methyl-N-dodecylamine")</f>
        <v>N-Nitroso-N-methyl-N-dodecylamine</v>
      </c>
      <c r="C1830" s="3" t="str">
        <f>HYPERLINK("https://www.kmpharma.in/product/22977","KMN084087")</f>
        <v>KMN084087</v>
      </c>
      <c r="D1830" s="3" t="s">
        <v>239</v>
      </c>
      <c r="E1830" s="5" t="s">
        <v>323</v>
      </c>
    </row>
    <row r="1831" spans="1:5" x14ac:dyDescent="0.25">
      <c r="A1831" s="6">
        <v>1830</v>
      </c>
      <c r="B1831" s="6" t="str">
        <f>HYPERLINK("https://www.kmpharma.in/product/23051","N-Nitroso-N-methyl-N-tetradecylamine")</f>
        <v>N-Nitroso-N-methyl-N-tetradecylamine</v>
      </c>
      <c r="C1831" s="6" t="str">
        <f>HYPERLINK("https://www.kmpharma.in/product/23051","KMN084088")</f>
        <v>KMN084088</v>
      </c>
      <c r="D1831" s="6" t="s">
        <v>240</v>
      </c>
      <c r="E1831" s="7" t="s">
        <v>321</v>
      </c>
    </row>
    <row r="1832" spans="1:5" x14ac:dyDescent="0.25">
      <c r="A1832" s="3">
        <v>1831</v>
      </c>
      <c r="B1832" s="3" t="str">
        <f>HYPERLINK("https://www.kmpharma.in/product/23052","N-Nitroso-N-Methyl-O-Methyl-Hydroxylamine")</f>
        <v>N-Nitroso-N-Methyl-O-Methyl-Hydroxylamine</v>
      </c>
      <c r="C1832" s="3" t="str">
        <f>HYPERLINK("https://www.kmpharma.in/product/23052","KMN084089")</f>
        <v>KMN084089</v>
      </c>
      <c r="D1832" s="3" t="s">
        <v>241</v>
      </c>
      <c r="E1832" s="5" t="s">
        <v>321</v>
      </c>
    </row>
    <row r="1833" spans="1:5" x14ac:dyDescent="0.25">
      <c r="A1833" s="6">
        <v>1832</v>
      </c>
      <c r="B1833" s="6" t="str">
        <f>HYPERLINK("https://www.kmpharma.in/product/22912","N-Nitroso-N-methylaniline-d5")</f>
        <v>N-Nitroso-N-methylaniline-d5</v>
      </c>
      <c r="C1833" s="6" t="str">
        <f>HYPERLINK("https://www.kmpharma.in/product/22912","KMN084090")</f>
        <v>KMN084090</v>
      </c>
      <c r="D1833" s="6" t="s">
        <v>242</v>
      </c>
      <c r="E1833" s="7" t="s">
        <v>323</v>
      </c>
    </row>
    <row r="1834" spans="1:5" x14ac:dyDescent="0.25">
      <c r="A1834" s="3">
        <v>1833</v>
      </c>
      <c r="B1834" s="3" t="str">
        <f>HYPERLINK("https://www.kmpharma.in/product/22976","N-Nitroso-N-methylcyclohexylamine")</f>
        <v>N-Nitroso-N-methylcyclohexylamine</v>
      </c>
      <c r="C1834" s="3" t="str">
        <f>HYPERLINK("https://www.kmpharma.in/product/22976","KMN084091")</f>
        <v>KMN084091</v>
      </c>
      <c r="D1834" s="3" t="s">
        <v>243</v>
      </c>
      <c r="E1834" s="5" t="s">
        <v>321</v>
      </c>
    </row>
    <row r="1835" spans="1:5" x14ac:dyDescent="0.25">
      <c r="A1835" s="6">
        <v>1834</v>
      </c>
      <c r="B1835" s="6" t="str">
        <f>HYPERLINK("https://www.kmpharma.in/product/22123","N-Nitroso-Nebivolol")</f>
        <v>N-Nitroso-Nebivolol</v>
      </c>
      <c r="C1835" s="6" t="str">
        <f>HYPERLINK("https://www.kmpharma.in/product/22123","KMN007013")</f>
        <v>KMN007013</v>
      </c>
      <c r="D1835" s="6" t="s">
        <v>244</v>
      </c>
      <c r="E1835" s="6" t="s">
        <v>16</v>
      </c>
    </row>
    <row r="1836" spans="1:5" x14ac:dyDescent="0.25">
      <c r="A1836" s="3">
        <v>1835</v>
      </c>
      <c r="B1836" s="3" t="str">
        <f>HYPERLINK("https://www.kmpharma.in/product/290","N-Nitroso-Phenylephrine")</f>
        <v>N-Nitroso-Phenylephrine</v>
      </c>
      <c r="C1836" s="3" t="str">
        <f>HYPERLINK("https://www.kmpharma.in/product/290","KMP008001")</f>
        <v>KMP008001</v>
      </c>
      <c r="D1836" s="3" t="s">
        <v>183</v>
      </c>
      <c r="E1836" s="5" t="s">
        <v>322</v>
      </c>
    </row>
    <row r="1837" spans="1:5" x14ac:dyDescent="0.25">
      <c r="A1837" s="6">
        <v>1836</v>
      </c>
      <c r="B1837" s="6" t="str">
        <f>HYPERLINK("https://www.kmpharma.in/product/298","N-Nitroso-Pramipexole")</f>
        <v>N-Nitroso-Pramipexole</v>
      </c>
      <c r="C1837" s="6" t="str">
        <f>HYPERLINK("https://www.kmpharma.in/product/298","KMP026001")</f>
        <v>KMP026001</v>
      </c>
      <c r="D1837" s="6" t="s">
        <v>245</v>
      </c>
      <c r="E1837" s="7" t="s">
        <v>321</v>
      </c>
    </row>
    <row r="1838" spans="1:5" x14ac:dyDescent="0.25">
      <c r="A1838" s="3">
        <v>1837</v>
      </c>
      <c r="B1838" s="3" t="str">
        <f>HYPERLINK("https://www.kmpharma.in/product/37505","N-Nitroso-Pramipexole")</f>
        <v>N-Nitroso-Pramipexole</v>
      </c>
      <c r="C1838" s="3" t="str">
        <f>HYPERLINK("https://www.kmpharma.in/product/37505","KMP026010")</f>
        <v>KMP026010</v>
      </c>
      <c r="D1838" s="3" t="s">
        <v>245</v>
      </c>
      <c r="E1838" s="5" t="s">
        <v>323</v>
      </c>
    </row>
    <row r="1839" spans="1:5" x14ac:dyDescent="0.25">
      <c r="A1839" s="6">
        <v>1838</v>
      </c>
      <c r="B1839" s="6" t="str">
        <f>HYPERLINK("https://www.kmpharma.in/product/27192","N-Nitroso-Propafenon")</f>
        <v>N-Nitroso-Propafenon</v>
      </c>
      <c r="C1839" s="6" t="str">
        <f>HYPERLINK("https://www.kmpharma.in/product/27192","KMP015007")</f>
        <v>KMP015007</v>
      </c>
      <c r="D1839" s="6" t="s">
        <v>7</v>
      </c>
      <c r="E1839" s="7" t="s">
        <v>323</v>
      </c>
    </row>
    <row r="1840" spans="1:5" x14ac:dyDescent="0.25">
      <c r="A1840" s="3">
        <v>1839</v>
      </c>
      <c r="B1840" s="3" t="str">
        <f>HYPERLINK("https://www.kmpharma.in/product/27984","N-Nitroso-Rasagiline")</f>
        <v>N-Nitroso-Rasagiline</v>
      </c>
      <c r="C1840" s="3" t="str">
        <f>HYPERLINK("https://www.kmpharma.in/product/27984","KMR024017")</f>
        <v>KMR024017</v>
      </c>
      <c r="D1840" s="3" t="s">
        <v>246</v>
      </c>
      <c r="E1840" s="5" t="s">
        <v>323</v>
      </c>
    </row>
    <row r="1841" spans="1:5" x14ac:dyDescent="0.25">
      <c r="A1841" s="6">
        <v>1840</v>
      </c>
      <c r="B1841" s="6" t="str">
        <f>HYPERLINK("https://www.kmpharma.in/product/27985","N-Nitroso-Rasagiline Impurity 1")</f>
        <v>N-Nitroso-Rasagiline Impurity 1</v>
      </c>
      <c r="C1841" s="6" t="str">
        <f>HYPERLINK("https://www.kmpharma.in/product/27985","KMR024018")</f>
        <v>KMR024018</v>
      </c>
      <c r="D1841" s="6" t="s">
        <v>7</v>
      </c>
      <c r="E1841" s="7" t="s">
        <v>323</v>
      </c>
    </row>
    <row r="1842" spans="1:5" x14ac:dyDescent="0.25">
      <c r="A1842" s="3">
        <v>1841</v>
      </c>
      <c r="B1842" s="3" t="str">
        <f>HYPERLINK("https://www.kmpharma.in/product/27986","N-Nitroso-Rasagiline Impurity 2")</f>
        <v>N-Nitroso-Rasagiline Impurity 2</v>
      </c>
      <c r="C1842" s="3" t="str">
        <f>HYPERLINK("https://www.kmpharma.in/product/27986","KMR024019")</f>
        <v>KMR024019</v>
      </c>
      <c r="D1842" s="3" t="s">
        <v>7</v>
      </c>
      <c r="E1842" s="5" t="s">
        <v>323</v>
      </c>
    </row>
    <row r="1843" spans="1:5" x14ac:dyDescent="0.25">
      <c r="A1843" s="6">
        <v>1842</v>
      </c>
      <c r="B1843" s="6" t="str">
        <f>HYPERLINK("https://www.kmpharma.in/product/27987","N-Nitroso-Rasagiline Impurity 3")</f>
        <v>N-Nitroso-Rasagiline Impurity 3</v>
      </c>
      <c r="C1843" s="6" t="str">
        <f>HYPERLINK("https://www.kmpharma.in/product/27987","KMR024020")</f>
        <v>KMR024020</v>
      </c>
      <c r="D1843" s="6" t="s">
        <v>7</v>
      </c>
      <c r="E1843" s="7" t="s">
        <v>321</v>
      </c>
    </row>
    <row r="1844" spans="1:5" x14ac:dyDescent="0.25">
      <c r="A1844" s="3">
        <v>1843</v>
      </c>
      <c r="B1844" s="3" t="str">
        <f>HYPERLINK("https://www.kmpharma.in/product/215","N-Nitroso-Rivaroxaban Amide")</f>
        <v>N-Nitroso-Rivaroxaban Amide</v>
      </c>
      <c r="C1844" s="3" t="str">
        <f>HYPERLINK("https://www.kmpharma.in/product/215","KMR002001")</f>
        <v>KMR002001</v>
      </c>
      <c r="D1844" s="3" t="s">
        <v>35</v>
      </c>
      <c r="E1844" s="5" t="s">
        <v>321</v>
      </c>
    </row>
    <row r="1845" spans="1:5" x14ac:dyDescent="0.25">
      <c r="A1845" s="6">
        <v>1844</v>
      </c>
      <c r="B1845" s="6" t="str">
        <f>HYPERLINK("https://www.kmpharma.in/product/30409","N-Nitroso-Sertraline")</f>
        <v>N-Nitroso-Sertraline</v>
      </c>
      <c r="C1845" s="6" t="str">
        <f>HYPERLINK("https://www.kmpharma.in/product/30409","KMS003019")</f>
        <v>KMS003019</v>
      </c>
      <c r="D1845" s="6" t="s">
        <v>7</v>
      </c>
      <c r="E1845" s="7" t="s">
        <v>321</v>
      </c>
    </row>
    <row r="1846" spans="1:5" x14ac:dyDescent="0.25">
      <c r="A1846" s="3">
        <v>1845</v>
      </c>
      <c r="B1846" s="3" t="str">
        <f>HYPERLINK("https://www.kmpharma.in/product/30561","N-Nitroso-Silodosin")</f>
        <v>N-Nitroso-Silodosin</v>
      </c>
      <c r="C1846" s="3" t="str">
        <f>HYPERLINK("https://www.kmpharma.in/product/30561","KMS004012")</f>
        <v>KMS004012</v>
      </c>
      <c r="D1846" s="3" t="s">
        <v>7</v>
      </c>
      <c r="E1846" s="3" t="s">
        <v>16</v>
      </c>
    </row>
    <row r="1847" spans="1:5" x14ac:dyDescent="0.25">
      <c r="A1847" s="6">
        <v>1846</v>
      </c>
      <c r="B1847" s="6" t="str">
        <f>HYPERLINK("https://www.kmpharma.in/product/31184","N-Nitroso-Sotalol")</f>
        <v>N-Nitroso-Sotalol</v>
      </c>
      <c r="C1847" s="6" t="str">
        <f>HYPERLINK("https://www.kmpharma.in/product/31184","KMS077003")</f>
        <v>KMS077003</v>
      </c>
      <c r="D1847" s="6" t="s">
        <v>247</v>
      </c>
      <c r="E1847" s="6" t="s">
        <v>16</v>
      </c>
    </row>
    <row r="1848" spans="1:5" x14ac:dyDescent="0.25">
      <c r="A1848" s="3">
        <v>1847</v>
      </c>
      <c r="B1848" s="3" t="str">
        <f>HYPERLINK("https://www.kmpharma.in/product/291","N-Nitroso-Tamsulosin")</f>
        <v>N-Nitroso-Tamsulosin</v>
      </c>
      <c r="C1848" s="3" t="str">
        <f>HYPERLINK("https://www.kmpharma.in/product/291","KMT024001")</f>
        <v>KMT024001</v>
      </c>
      <c r="D1848" s="3" t="s">
        <v>183</v>
      </c>
      <c r="E1848" s="5" t="s">
        <v>323</v>
      </c>
    </row>
    <row r="1849" spans="1:5" x14ac:dyDescent="0.25">
      <c r="A1849" s="6">
        <v>1848</v>
      </c>
      <c r="B1849" s="6" t="str">
        <f>HYPERLINK("https://www.kmpharma.in/product/16692","N-Nitroso-thiazolidine")</f>
        <v>N-Nitroso-thiazolidine</v>
      </c>
      <c r="C1849" s="6" t="str">
        <f>HYPERLINK("https://www.kmpharma.in/product/16692","KMI001048")</f>
        <v>KMI001048</v>
      </c>
      <c r="D1849" s="6" t="s">
        <v>248</v>
      </c>
      <c r="E1849" s="7" t="s">
        <v>321</v>
      </c>
    </row>
    <row r="1850" spans="1:5" x14ac:dyDescent="0.25">
      <c r="A1850" s="3">
        <v>1849</v>
      </c>
      <c r="B1850" s="3" t="str">
        <f>HYPERLINK("https://www.kmpharma.in/product/366","N-nitroso-vancomycin")</f>
        <v>N-nitroso-vancomycin</v>
      </c>
      <c r="C1850" s="3" t="str">
        <f>HYPERLINK("https://www.kmpharma.in/product/366","KMV007001")</f>
        <v>KMV007001</v>
      </c>
      <c r="D1850" s="3" t="s">
        <v>249</v>
      </c>
      <c r="E1850" s="5" t="s">
        <v>321</v>
      </c>
    </row>
    <row r="1851" spans="1:5" x14ac:dyDescent="0.25">
      <c r="A1851" s="6">
        <v>1850</v>
      </c>
      <c r="B1851" s="6" t="str">
        <f>HYPERLINK("https://www.kmpharma.in/product/22966","N-Nitrosobis(2-hydroxypropyl)amine")</f>
        <v>N-Nitrosobis(2-hydroxypropyl)amine</v>
      </c>
      <c r="C1851" s="6" t="str">
        <f>HYPERLINK("https://www.kmpharma.in/product/22966","KMN084092")</f>
        <v>KMN084092</v>
      </c>
      <c r="D1851" s="6" t="s">
        <v>250</v>
      </c>
      <c r="E1851" s="7" t="s">
        <v>321</v>
      </c>
    </row>
    <row r="1852" spans="1:5" x14ac:dyDescent="0.25">
      <c r="A1852" s="3">
        <v>1851</v>
      </c>
      <c r="B1852" s="3" t="str">
        <f>HYPERLINK("https://www.kmpharma.in/product/39121","N-Nitrosodi-Iso-Propyl-d14-Amine")</f>
        <v>N-Nitrosodi-Iso-Propyl-d14-Amine</v>
      </c>
      <c r="C1852" s="3" t="str">
        <f>HYPERLINK("https://www.kmpharma.in/product/39121","KMV008018")</f>
        <v>KMV008018</v>
      </c>
      <c r="D1852" s="3" t="s">
        <v>251</v>
      </c>
      <c r="E1852" s="5" t="s">
        <v>321</v>
      </c>
    </row>
    <row r="1853" spans="1:5" x14ac:dyDescent="0.25">
      <c r="A1853" s="6">
        <v>1852</v>
      </c>
      <c r="B1853" s="6" t="str">
        <f>HYPERLINK("https://www.kmpharma.in/product/23167","N-Nitrosodibenzylamine")</f>
        <v>N-Nitrosodibenzylamine</v>
      </c>
      <c r="C1853" s="6" t="str">
        <f>HYPERLINK("https://www.kmpharma.in/product/23167","KMN006009")</f>
        <v>KMN006009</v>
      </c>
      <c r="D1853" s="6" t="s">
        <v>252</v>
      </c>
      <c r="E1853" s="7" t="s">
        <v>322</v>
      </c>
    </row>
    <row r="1854" spans="1:5" x14ac:dyDescent="0.25">
      <c r="A1854" s="3">
        <v>1853</v>
      </c>
      <c r="B1854" s="3" t="str">
        <f>HYPERLINK("https://www.kmpharma.in/product/23171","N-Nitrosodibenzylamine-D4")</f>
        <v>N-Nitrosodibenzylamine-D4</v>
      </c>
      <c r="C1854" s="3" t="str">
        <f>HYPERLINK("https://www.kmpharma.in/product/23171","KMN006010")</f>
        <v>KMN006010</v>
      </c>
      <c r="D1854" s="3" t="s">
        <v>253</v>
      </c>
      <c r="E1854" s="5" t="s">
        <v>321</v>
      </c>
    </row>
    <row r="1855" spans="1:5" x14ac:dyDescent="0.25">
      <c r="A1855" s="6">
        <v>1854</v>
      </c>
      <c r="B1855" s="6" t="str">
        <f>HYPERLINK("https://www.kmpharma.in/product/284","N-Nitrosodibutylamine (NDBA)")</f>
        <v>N-Nitrosodibutylamine (NDBA)</v>
      </c>
      <c r="C1855" s="6" t="str">
        <f>HYPERLINK("https://www.kmpharma.in/product/284","KMN001016")</f>
        <v>KMN001016</v>
      </c>
      <c r="D1855" s="6" t="s">
        <v>254</v>
      </c>
      <c r="E1855" s="7" t="s">
        <v>321</v>
      </c>
    </row>
    <row r="1856" spans="1:5" x14ac:dyDescent="0.25">
      <c r="A1856" s="3">
        <v>1855</v>
      </c>
      <c r="B1856" s="3" t="str">
        <f>HYPERLINK("https://www.kmpharma.in/product/22967","N-Nitrosodicyclohexylamine")</f>
        <v>N-Nitrosodicyclohexylamine</v>
      </c>
      <c r="C1856" s="3" t="str">
        <f>HYPERLINK("https://www.kmpharma.in/product/22967","KMN084093")</f>
        <v>KMN084093</v>
      </c>
      <c r="D1856" s="3" t="s">
        <v>255</v>
      </c>
      <c r="E1856" s="5" t="s">
        <v>321</v>
      </c>
    </row>
    <row r="1857" spans="1:5" x14ac:dyDescent="0.25">
      <c r="A1857" s="6">
        <v>1856</v>
      </c>
      <c r="B1857" s="6" t="str">
        <f>HYPERLINK("https://www.kmpharma.in/product/286","N-Nitrosodiethylamine (NDEA)")</f>
        <v>N-Nitrosodiethylamine (NDEA)</v>
      </c>
      <c r="C1857" s="6" t="str">
        <f>HYPERLINK("https://www.kmpharma.in/product/286","KMN001013")</f>
        <v>KMN001013</v>
      </c>
      <c r="D1857" s="6" t="s">
        <v>256</v>
      </c>
      <c r="E1857" s="7" t="s">
        <v>321</v>
      </c>
    </row>
    <row r="1858" spans="1:5" x14ac:dyDescent="0.25">
      <c r="A1858" s="3">
        <v>1857</v>
      </c>
      <c r="B1858" s="3" t="str">
        <f>HYPERLINK("https://www.kmpharma.in/product/22917","N-Nitrosodiethylamine 13c-D6")</f>
        <v>N-Nitrosodiethylamine 13c-D6</v>
      </c>
      <c r="C1858" s="3" t="str">
        <f>HYPERLINK("https://www.kmpharma.in/product/22917","KMN084094")</f>
        <v>KMN084094</v>
      </c>
      <c r="D1858" s="3" t="s">
        <v>7</v>
      </c>
      <c r="E1858" s="5" t="s">
        <v>323</v>
      </c>
    </row>
    <row r="1859" spans="1:5" x14ac:dyDescent="0.25">
      <c r="A1859" s="6">
        <v>1858</v>
      </c>
      <c r="B1859" s="6" t="str">
        <f>HYPERLINK("https://www.kmpharma.in/product/8070","N-Nitrosodihydrodibenzazepine")</f>
        <v>N-Nitrosodihydrodibenzazepine</v>
      </c>
      <c r="C1859" s="6" t="str">
        <f>HYPERLINK("https://www.kmpharma.in/product/8070","KMC015057")</f>
        <v>KMC015057</v>
      </c>
      <c r="D1859" s="6" t="s">
        <v>103</v>
      </c>
      <c r="E1859" s="7" t="s">
        <v>323</v>
      </c>
    </row>
    <row r="1860" spans="1:5" x14ac:dyDescent="0.25">
      <c r="A1860" s="3">
        <v>1859</v>
      </c>
      <c r="B1860" s="3" t="str">
        <f>HYPERLINK("https://www.kmpharma.in/product/181","N-Nitrosodiisobutylamine")</f>
        <v>N-Nitrosodiisobutylamine</v>
      </c>
      <c r="C1860" s="3" t="str">
        <f>HYPERLINK("https://www.kmpharma.in/product/181","KMN001003")</f>
        <v>KMN001003</v>
      </c>
      <c r="D1860" s="3" t="s">
        <v>257</v>
      </c>
      <c r="E1860" s="5" t="s">
        <v>323</v>
      </c>
    </row>
    <row r="1861" spans="1:5" x14ac:dyDescent="0.25">
      <c r="A1861" s="6">
        <v>1860</v>
      </c>
      <c r="B1861" s="6" t="str">
        <f>HYPERLINK("https://www.kmpharma.in/product/22968","N-Nitrosodiisobutylamine")</f>
        <v>N-Nitrosodiisobutylamine</v>
      </c>
      <c r="C1861" s="6" t="str">
        <f>HYPERLINK("https://www.kmpharma.in/product/22968","KMN084095")</f>
        <v>KMN084095</v>
      </c>
      <c r="D1861" s="6" t="s">
        <v>257</v>
      </c>
      <c r="E1861" s="6" t="s">
        <v>16</v>
      </c>
    </row>
    <row r="1862" spans="1:5" x14ac:dyDescent="0.25">
      <c r="A1862" s="3">
        <v>1861</v>
      </c>
      <c r="B1862" s="3" t="str">
        <f>HYPERLINK("https://www.kmpharma.in/product/23045","N-Nitrosodiisononylamine")</f>
        <v>N-Nitrosodiisononylamine</v>
      </c>
      <c r="C1862" s="3" t="str">
        <f>HYPERLINK("https://www.kmpharma.in/product/23045","KMN084096")</f>
        <v>KMN084096</v>
      </c>
      <c r="D1862" s="3" t="s">
        <v>258</v>
      </c>
      <c r="E1862" s="5" t="s">
        <v>321</v>
      </c>
    </row>
    <row r="1863" spans="1:5" x14ac:dyDescent="0.25">
      <c r="A1863" s="6">
        <v>1862</v>
      </c>
      <c r="B1863" s="6" t="str">
        <f>HYPERLINK("https://www.kmpharma.in/product/39128","N-Nitrosodiisopropylamine")</f>
        <v>N-Nitrosodiisopropylamine</v>
      </c>
      <c r="C1863" s="6" t="str">
        <f>HYPERLINK("https://www.kmpharma.in/product/39128","KMV008019")</f>
        <v>KMV008019</v>
      </c>
      <c r="D1863" s="6" t="s">
        <v>259</v>
      </c>
      <c r="E1863" s="7" t="s">
        <v>321</v>
      </c>
    </row>
    <row r="1864" spans="1:5" x14ac:dyDescent="0.25">
      <c r="A1864" s="3">
        <v>1863</v>
      </c>
      <c r="B1864" s="3" t="str">
        <f>HYPERLINK("https://www.kmpharma.in/product/279","N-Nitrosodiisopropylamine (NDIPA)")</f>
        <v>N-Nitrosodiisopropylamine (NDIPA)</v>
      </c>
      <c r="C1864" s="3" t="str">
        <f>HYPERLINK("https://www.kmpharma.in/product/279","KMN001011")</f>
        <v>KMN001011</v>
      </c>
      <c r="D1864" s="3" t="s">
        <v>259</v>
      </c>
      <c r="E1864" s="5" t="s">
        <v>321</v>
      </c>
    </row>
    <row r="1865" spans="1:5" x14ac:dyDescent="0.25">
      <c r="A1865" s="6">
        <v>1864</v>
      </c>
      <c r="B1865" s="6" t="str">
        <f>HYPERLINK("https://www.kmpharma.in/product/22909","N-Nitrosodiisopropylamine- d14")</f>
        <v>N-Nitrosodiisopropylamine- d14</v>
      </c>
      <c r="C1865" s="6" t="str">
        <f>HYPERLINK("https://www.kmpharma.in/product/22909","KMN084097")</f>
        <v>KMN084097</v>
      </c>
      <c r="D1865" s="6" t="s">
        <v>7</v>
      </c>
      <c r="E1865" s="6" t="s">
        <v>16</v>
      </c>
    </row>
    <row r="1866" spans="1:5" x14ac:dyDescent="0.25">
      <c r="A1866" s="3">
        <v>1865</v>
      </c>
      <c r="B1866" s="3" t="str">
        <f>HYPERLINK("https://www.kmpharma.in/product/268","N-Nitrosodimethylamine")</f>
        <v>N-Nitrosodimethylamine</v>
      </c>
      <c r="C1866" s="3" t="str">
        <f>HYPERLINK("https://www.kmpharma.in/product/268","KMN001010")</f>
        <v>KMN001010</v>
      </c>
      <c r="D1866" s="3" t="s">
        <v>260</v>
      </c>
      <c r="E1866" s="5" t="s">
        <v>323</v>
      </c>
    </row>
    <row r="1867" spans="1:5" x14ac:dyDescent="0.25">
      <c r="A1867" s="6">
        <v>1866</v>
      </c>
      <c r="B1867" s="6" t="str">
        <f>HYPERLINK("https://www.kmpharma.in/product/22969","N-Nitrosodiphenylamine")</f>
        <v>N-Nitrosodiphenylamine</v>
      </c>
      <c r="C1867" s="6" t="str">
        <f>HYPERLINK("https://www.kmpharma.in/product/22969","KMN084098")</f>
        <v>KMN084098</v>
      </c>
      <c r="D1867" s="6" t="s">
        <v>261</v>
      </c>
      <c r="E1867" s="7" t="s">
        <v>321</v>
      </c>
    </row>
    <row r="1868" spans="1:5" x14ac:dyDescent="0.25">
      <c r="A1868" s="3">
        <v>1867</v>
      </c>
      <c r="B1868" s="3" t="str">
        <f>HYPERLINK("https://www.kmpharma.in/product/172","N-Nitrosodipropylamine")</f>
        <v>N-Nitrosodipropylamine</v>
      </c>
      <c r="C1868" s="3" t="str">
        <f>HYPERLINK("https://www.kmpharma.in/product/172","KMN001002")</f>
        <v>KMN001002</v>
      </c>
      <c r="D1868" s="3" t="s">
        <v>262</v>
      </c>
      <c r="E1868" s="5" t="s">
        <v>321</v>
      </c>
    </row>
    <row r="1869" spans="1:5" x14ac:dyDescent="0.25">
      <c r="A1869" s="6">
        <v>1868</v>
      </c>
      <c r="B1869" s="6" t="str">
        <f>HYPERLINK("https://www.kmpharma.in/product/22910","N-Nitrosodipropylamine-d14")</f>
        <v>N-Nitrosodipropylamine-d14</v>
      </c>
      <c r="C1869" s="6" t="str">
        <f>HYPERLINK("https://www.kmpharma.in/product/22910","KMN084099")</f>
        <v>KMN084099</v>
      </c>
      <c r="D1869" s="6" t="s">
        <v>263</v>
      </c>
      <c r="E1869" s="7" t="s">
        <v>321</v>
      </c>
    </row>
    <row r="1870" spans="1:5" x14ac:dyDescent="0.25">
      <c r="A1870" s="3">
        <v>1869</v>
      </c>
      <c r="B1870" s="3" t="str">
        <f>HYPERLINK("https://www.kmpharma.in/product/39129","N-Nitrosoethylisopropylamine")</f>
        <v>N-Nitrosoethylisopropylamine</v>
      </c>
      <c r="C1870" s="3" t="str">
        <f>HYPERLINK("https://www.kmpharma.in/product/39129","KMV008020")</f>
        <v>KMV008020</v>
      </c>
      <c r="D1870" s="3" t="s">
        <v>264</v>
      </c>
      <c r="E1870" s="5" t="s">
        <v>321</v>
      </c>
    </row>
    <row r="1871" spans="1:5" x14ac:dyDescent="0.25">
      <c r="A1871" s="6">
        <v>1870</v>
      </c>
      <c r="B1871" s="6" t="str">
        <f>HYPERLINK("https://www.kmpharma.in/product/280","N-Nitrosoethylisopropylamine (NEIPA)")</f>
        <v>N-Nitrosoethylisopropylamine (NEIPA)</v>
      </c>
      <c r="C1871" s="6" t="str">
        <f>HYPERLINK("https://www.kmpharma.in/product/280","KMN001012")</f>
        <v>KMN001012</v>
      </c>
      <c r="D1871" s="6" t="s">
        <v>264</v>
      </c>
      <c r="E1871" s="7" t="s">
        <v>323</v>
      </c>
    </row>
    <row r="1872" spans="1:5" x14ac:dyDescent="0.25">
      <c r="A1872" s="3">
        <v>1871</v>
      </c>
      <c r="B1872" s="3" t="str">
        <f>HYPERLINK("https://www.kmpharma.in/product/37157","N-Nitrosoethylmethyl amine(NMEA)")</f>
        <v>N-Nitrosoethylmethyl amine(NMEA)</v>
      </c>
      <c r="C1872" s="3" t="str">
        <f>HYPERLINK("https://www.kmpharma.in/product/37157","KMM001327")</f>
        <v>KMM001327</v>
      </c>
      <c r="D1872" s="3" t="s">
        <v>265</v>
      </c>
      <c r="E1872" s="5" t="s">
        <v>321</v>
      </c>
    </row>
    <row r="1873" spans="1:5" x14ac:dyDescent="0.25">
      <c r="A1873" s="6">
        <v>1872</v>
      </c>
      <c r="B1873" s="6" t="str">
        <f>HYPERLINK("https://www.kmpharma.in/product/234","N-Nitrosoethylmethylamine")</f>
        <v>N-Nitrosoethylmethylamine</v>
      </c>
      <c r="C1873" s="6" t="str">
        <f>HYPERLINK("https://www.kmpharma.in/product/234","KMN001009")</f>
        <v>KMN001009</v>
      </c>
      <c r="D1873" s="6" t="s">
        <v>265</v>
      </c>
      <c r="E1873" s="7" t="s">
        <v>321</v>
      </c>
    </row>
    <row r="1874" spans="1:5" x14ac:dyDescent="0.25">
      <c r="A1874" s="3">
        <v>1873</v>
      </c>
      <c r="B1874" s="3" t="str">
        <f>HYPERLINK("https://www.kmpharma.in/product/22919","N-Nitrosoethylmethylamine-d3")</f>
        <v>N-Nitrosoethylmethylamine-d3</v>
      </c>
      <c r="C1874" s="3" t="str">
        <f>HYPERLINK("https://www.kmpharma.in/product/22919","KMN084100")</f>
        <v>KMN084100</v>
      </c>
      <c r="D1874" s="3" t="s">
        <v>266</v>
      </c>
      <c r="E1874" s="5" t="s">
        <v>323</v>
      </c>
    </row>
    <row r="1875" spans="1:5" x14ac:dyDescent="0.25">
      <c r="A1875" s="6">
        <v>1874</v>
      </c>
      <c r="B1875" s="6" t="str">
        <f>HYPERLINK("https://www.kmpharma.in/product/22971","N-Nitrosohexamethyleneimine")</f>
        <v>N-Nitrosohexamethyleneimine</v>
      </c>
      <c r="C1875" s="6" t="str">
        <f>HYPERLINK("https://www.kmpharma.in/product/22971","KMN084101")</f>
        <v>KMN084101</v>
      </c>
      <c r="D1875" s="6" t="s">
        <v>267</v>
      </c>
      <c r="E1875" s="7" t="s">
        <v>323</v>
      </c>
    </row>
    <row r="1876" spans="1:5" x14ac:dyDescent="0.25">
      <c r="A1876" s="3">
        <v>1875</v>
      </c>
      <c r="B1876" s="3" t="str">
        <f>HYPERLINK("https://www.kmpharma.in/product/183","N-Nitrosoiminodiacetic Acid")</f>
        <v>N-Nitrosoiminodiacetic Acid</v>
      </c>
      <c r="C1876" s="3" t="str">
        <f>HYPERLINK("https://www.kmpharma.in/product/183","KMN001004")</f>
        <v>KMN001004</v>
      </c>
      <c r="D1876" s="3" t="s">
        <v>268</v>
      </c>
      <c r="E1876" s="3" t="s">
        <v>16</v>
      </c>
    </row>
    <row r="1877" spans="1:5" x14ac:dyDescent="0.25">
      <c r="A1877" s="6">
        <v>1876</v>
      </c>
      <c r="B1877" s="6" t="str">
        <f>HYPERLINK("https://www.kmpharma.in/product/22892","N-Nitrosoiminodiacetic Acid")</f>
        <v>N-Nitrosoiminodiacetic Acid</v>
      </c>
      <c r="C1877" s="6" t="str">
        <f>HYPERLINK("https://www.kmpharma.in/product/22892","KMN082001")</f>
        <v>KMN082001</v>
      </c>
      <c r="D1877" s="6" t="s">
        <v>268</v>
      </c>
      <c r="E1877" s="6" t="s">
        <v>16</v>
      </c>
    </row>
    <row r="1878" spans="1:5" x14ac:dyDescent="0.25">
      <c r="A1878" s="3">
        <v>1877</v>
      </c>
      <c r="B1878" s="3" t="str">
        <f>HYPERLINK("https://www.kmpharma.in/product/22972","N-Nitrosoindoline")</f>
        <v>N-Nitrosoindoline</v>
      </c>
      <c r="C1878" s="3" t="str">
        <f>HYPERLINK("https://www.kmpharma.in/product/22972","KMN084102")</f>
        <v>KMN084102</v>
      </c>
      <c r="D1878" s="3" t="s">
        <v>269</v>
      </c>
      <c r="E1878" s="5" t="s">
        <v>322</v>
      </c>
    </row>
    <row r="1879" spans="1:5" x14ac:dyDescent="0.25">
      <c r="A1879" s="6">
        <v>1878</v>
      </c>
      <c r="B1879" s="6" t="str">
        <f>HYPERLINK("https://www.kmpharma.in/product/23048","N-Nitrosomethylamine")</f>
        <v>N-Nitrosomethylamine</v>
      </c>
      <c r="C1879" s="6" t="str">
        <f>HYPERLINK("https://www.kmpharma.in/product/23048","KMN084103")</f>
        <v>KMN084103</v>
      </c>
      <c r="D1879" s="6" t="s">
        <v>270</v>
      </c>
      <c r="E1879" s="7" t="s">
        <v>321</v>
      </c>
    </row>
    <row r="1880" spans="1:5" x14ac:dyDescent="0.25">
      <c r="A1880" s="3">
        <v>1879</v>
      </c>
      <c r="B1880" s="3" t="str">
        <f>HYPERLINK("https://www.kmpharma.in/product/22920","N-Nitrosomethylphenylamine 13CD3 15N")</f>
        <v>N-Nitrosomethylphenylamine 13CD3 15N</v>
      </c>
      <c r="C1880" s="3" t="str">
        <f>HYPERLINK("https://www.kmpharma.in/product/22920","KMN084104")</f>
        <v>KMN084104</v>
      </c>
      <c r="D1880" s="3" t="s">
        <v>7</v>
      </c>
      <c r="E1880" s="5" t="s">
        <v>321</v>
      </c>
    </row>
    <row r="1881" spans="1:5" x14ac:dyDescent="0.25">
      <c r="A1881" s="6">
        <v>1880</v>
      </c>
      <c r="B1881" s="6" t="str">
        <f>HYPERLINK("https://www.kmpharma.in/product/22911","N-Nitrosomorpholine D8")</f>
        <v>N-Nitrosomorpholine D8</v>
      </c>
      <c r="C1881" s="6" t="str">
        <f>HYPERLINK("https://www.kmpharma.in/product/22911","KMN084105")</f>
        <v>KMN084105</v>
      </c>
      <c r="D1881" s="6" t="s">
        <v>271</v>
      </c>
      <c r="E1881" s="7" t="s">
        <v>321</v>
      </c>
    </row>
    <row r="1882" spans="1:5" x14ac:dyDescent="0.25">
      <c r="A1882" s="3">
        <v>1881</v>
      </c>
      <c r="B1882" s="3" t="str">
        <f>HYPERLINK("https://www.kmpharma.in/product/21384","N-Nitrosomorpholine-D4")</f>
        <v>N-Nitrosomorpholine-D4</v>
      </c>
      <c r="C1882" s="3" t="str">
        <f>HYPERLINK("https://www.kmpharma.in/product/21384","KMM159009")</f>
        <v>KMM159009</v>
      </c>
      <c r="D1882" s="3" t="s">
        <v>272</v>
      </c>
      <c r="E1882" s="5" t="s">
        <v>321</v>
      </c>
    </row>
    <row r="1883" spans="1:5" x14ac:dyDescent="0.25">
      <c r="A1883" s="6">
        <v>1882</v>
      </c>
      <c r="B1883" s="6" t="str">
        <f>HYPERLINK("https://www.kmpharma.in/product/36727","N-Nitrosopiperazine L-5 methyltetrahydrofolate calcium")</f>
        <v>N-Nitrosopiperazine L-5 methyltetrahydrofolate calcium</v>
      </c>
      <c r="C1883" s="6" t="str">
        <f>HYPERLINK("https://www.kmpharma.in/product/36727","KML069020")</f>
        <v>KML069020</v>
      </c>
      <c r="D1883" s="6" t="s">
        <v>7</v>
      </c>
      <c r="E1883" s="6" t="s">
        <v>16</v>
      </c>
    </row>
    <row r="1884" spans="1:5" x14ac:dyDescent="0.25">
      <c r="A1884" s="3">
        <v>1883</v>
      </c>
      <c r="B1884" s="3" t="str">
        <f>HYPERLINK("https://www.kmpharma.in/product/22914","N-Nitrosopiperidine-d10")</f>
        <v>N-Nitrosopiperidine-d10</v>
      </c>
      <c r="C1884" s="3" t="str">
        <f>HYPERLINK("https://www.kmpharma.in/product/22914","KMN084106")</f>
        <v>KMN084106</v>
      </c>
      <c r="D1884" s="3" t="s">
        <v>273</v>
      </c>
      <c r="E1884" s="5" t="s">
        <v>321</v>
      </c>
    </row>
    <row r="1885" spans="1:5" x14ac:dyDescent="0.25">
      <c r="A1885" s="6">
        <v>1884</v>
      </c>
      <c r="B1885" s="6" t="str">
        <f>HYPERLINK("https://www.kmpharma.in/product/22921","N-Nitrosopiperidine-d4")</f>
        <v>N-Nitrosopiperidine-d4</v>
      </c>
      <c r="C1885" s="6" t="str">
        <f>HYPERLINK("https://www.kmpharma.in/product/22921","KMN084107")</f>
        <v>KMN084107</v>
      </c>
      <c r="D1885" s="6" t="s">
        <v>274</v>
      </c>
      <c r="E1885" s="7" t="s">
        <v>321</v>
      </c>
    </row>
    <row r="1886" spans="1:5" x14ac:dyDescent="0.25">
      <c r="A1886" s="3">
        <v>1885</v>
      </c>
      <c r="B1886" s="3" t="str">
        <f>HYPERLINK("https://www.kmpharma.in/product/22913","N-Nitrosopyrrolidine-d8")</f>
        <v>N-Nitrosopyrrolidine-d8</v>
      </c>
      <c r="C1886" s="3" t="str">
        <f>HYPERLINK("https://www.kmpharma.in/product/22913","KMN084108")</f>
        <v>KMN084108</v>
      </c>
      <c r="D1886" s="3" t="s">
        <v>275</v>
      </c>
      <c r="E1886" s="5" t="s">
        <v>321</v>
      </c>
    </row>
    <row r="1887" spans="1:5" x14ac:dyDescent="0.25">
      <c r="A1887" s="6">
        <v>1886</v>
      </c>
      <c r="B1887" s="6" t="str">
        <f>HYPERLINK("https://www.kmpharma.in/product/34250","N-NitrosoTrametinib")</f>
        <v>N-NitrosoTrametinib</v>
      </c>
      <c r="C1887" s="6" t="str">
        <f>HYPERLINK("https://www.kmpharma.in/product/34250","KMT155002")</f>
        <v>KMT155002</v>
      </c>
      <c r="D1887" s="6" t="s">
        <v>7</v>
      </c>
      <c r="E1887" s="7" t="s">
        <v>321</v>
      </c>
    </row>
    <row r="1888" spans="1:5" x14ac:dyDescent="0.25">
      <c r="A1888" s="3">
        <v>1887</v>
      </c>
      <c r="B1888" s="3" t="str">
        <f>HYPERLINK("https://www.kmpharma.in/product/27305","N‐Nitroso Protriptyline")</f>
        <v>N‐Nitroso Protriptyline</v>
      </c>
      <c r="C1888" s="3" t="str">
        <f>HYPERLINK("https://www.kmpharma.in/product/27305","KMP199002")</f>
        <v>KMP199002</v>
      </c>
      <c r="D1888" s="3" t="s">
        <v>7</v>
      </c>
      <c r="E1888" s="5" t="s">
        <v>321</v>
      </c>
    </row>
    <row r="1889" spans="1:5" x14ac:dyDescent="0.25">
      <c r="A1889" s="6">
        <v>1888</v>
      </c>
      <c r="B1889" s="6" t="str">
        <f>HYPERLINK("https://www.kmpharma.in/product/10766","N,C-Didesmethyl Doxylamine N-Nitroso")</f>
        <v>N,C-Didesmethyl Doxylamine N-Nitroso</v>
      </c>
      <c r="C1889" s="6" t="str">
        <f>HYPERLINK("https://www.kmpharma.in/product/10766","KMD017024")</f>
        <v>KMD017024</v>
      </c>
      <c r="D1889" s="6" t="s">
        <v>7</v>
      </c>
      <c r="E1889" s="7" t="s">
        <v>321</v>
      </c>
    </row>
    <row r="1890" spans="1:5" x14ac:dyDescent="0.25">
      <c r="A1890" s="3">
        <v>1889</v>
      </c>
      <c r="B1890" s="3" t="str">
        <f>HYPERLINK("https://www.kmpharma.in/product/1848","N,N-Di Nitroso Amoxicillin Dimer Impurity")</f>
        <v>N,N-Di Nitroso Amoxicillin Dimer Impurity</v>
      </c>
      <c r="C1890" s="3" t="str">
        <f>HYPERLINK("https://www.kmpharma.in/product/1848","KMA129056")</f>
        <v>KMA129056</v>
      </c>
      <c r="D1890" s="3" t="s">
        <v>7</v>
      </c>
      <c r="E1890" s="5" t="s">
        <v>321</v>
      </c>
    </row>
    <row r="1891" spans="1:5" x14ac:dyDescent="0.25">
      <c r="A1891" s="6">
        <v>1890</v>
      </c>
      <c r="B1891" s="6" t="str">
        <f>HYPERLINK("https://www.kmpharma.in/product/1849","N,N-Di Nitroso Amoxicillin Impurity J Trimer")</f>
        <v>N,N-Di Nitroso Amoxicillin Impurity J Trimer</v>
      </c>
      <c r="C1891" s="6" t="str">
        <f>HYPERLINK("https://www.kmpharma.in/product/1849","KMA129057")</f>
        <v>KMA129057</v>
      </c>
      <c r="D1891" s="6" t="s">
        <v>7</v>
      </c>
      <c r="E1891" s="7" t="s">
        <v>321</v>
      </c>
    </row>
    <row r="1892" spans="1:5" x14ac:dyDescent="0.25">
      <c r="A1892" s="3">
        <v>1891</v>
      </c>
      <c r="B1892" s="3" t="str">
        <f>HYPERLINK("https://www.kmpharma.in/product/1850","N,N-Di Nitroso Amoxicillin Impurity K")</f>
        <v>N,N-Di Nitroso Amoxicillin Impurity K</v>
      </c>
      <c r="C1892" s="3" t="str">
        <f>HYPERLINK("https://www.kmpharma.in/product/1850","KMA129058")</f>
        <v>KMA129058</v>
      </c>
      <c r="D1892" s="3" t="s">
        <v>7</v>
      </c>
      <c r="E1892" s="5" t="s">
        <v>321</v>
      </c>
    </row>
    <row r="1893" spans="1:5" x14ac:dyDescent="0.25">
      <c r="A1893" s="6">
        <v>1892</v>
      </c>
      <c r="B1893" s="6" t="str">
        <f>HYPERLINK("https://www.kmpharma.in/product/18378","N,N-Dinitroso Levofloxacin EP Impurity G")</f>
        <v>N,N-Dinitroso Levofloxacin EP Impurity G</v>
      </c>
      <c r="C1893" s="6" t="str">
        <f>HYPERLINK("https://www.kmpharma.in/product/18378","KML009036")</f>
        <v>KML009036</v>
      </c>
      <c r="D1893" s="6" t="s">
        <v>7</v>
      </c>
      <c r="E1893" s="7" t="s">
        <v>321</v>
      </c>
    </row>
    <row r="1894" spans="1:5" x14ac:dyDescent="0.25">
      <c r="A1894" s="3">
        <v>1893</v>
      </c>
      <c r="B1894" s="3" t="str">
        <f>HYPERLINK("https://www.kmpharma.in/product/20515","N,N-Dinitroso Methotrexate EP Impurity L")</f>
        <v>N,N-Dinitroso Methotrexate EP Impurity L</v>
      </c>
      <c r="C1894" s="3" t="str">
        <f>HYPERLINK("https://www.kmpharma.in/product/20515","KMM018063")</f>
        <v>KMM018063</v>
      </c>
      <c r="D1894" s="3" t="s">
        <v>7</v>
      </c>
      <c r="E1894" s="5" t="s">
        <v>321</v>
      </c>
    </row>
    <row r="1895" spans="1:5" x14ac:dyDescent="0.25">
      <c r="A1895" s="6">
        <v>1894</v>
      </c>
      <c r="B1895" s="6" t="str">
        <f>HYPERLINK("https://www.kmpharma.in/product/21265","N,N-Dinitroso Mitoxantrone Impurity 1")</f>
        <v>N,N-Dinitroso Mitoxantrone Impurity 1</v>
      </c>
      <c r="C1895" s="6" t="str">
        <f>HYPERLINK("https://www.kmpharma.in/product/21265","KMM150010")</f>
        <v>KMM150010</v>
      </c>
      <c r="D1895" s="6" t="s">
        <v>7</v>
      </c>
      <c r="E1895" s="6" t="s">
        <v>16</v>
      </c>
    </row>
    <row r="1896" spans="1:5" x14ac:dyDescent="0.25">
      <c r="A1896" s="3">
        <v>1895</v>
      </c>
      <c r="B1896" s="3" t="str">
        <f>HYPERLINK("https://www.kmpharma.in/product/24843","N,N-Dinitroso Pantoprazole EP Impurity E")</f>
        <v>N,N-Dinitroso Pantoprazole EP Impurity E</v>
      </c>
      <c r="C1896" s="3" t="str">
        <f>HYPERLINK("https://www.kmpharma.in/product/24843","KMP012010")</f>
        <v>KMP012010</v>
      </c>
      <c r="D1896" s="3" t="s">
        <v>7</v>
      </c>
      <c r="E1896" s="3" t="s">
        <v>16</v>
      </c>
    </row>
    <row r="1897" spans="1:5" x14ac:dyDescent="0.25">
      <c r="A1897" s="6">
        <v>1896</v>
      </c>
      <c r="B1897" s="6" t="str">
        <f>HYPERLINK("https://www.kmpharma.in/product/22999","N,N-Dinitroso-Ethylene Diaminodiacetic Acid")</f>
        <v>N,N-Dinitroso-Ethylene Diaminodiacetic Acid</v>
      </c>
      <c r="C1897" s="6" t="str">
        <f>HYPERLINK("https://www.kmpharma.in/product/22999","KMN084110")</f>
        <v>KMN084110</v>
      </c>
      <c r="D1897" s="6" t="s">
        <v>276</v>
      </c>
      <c r="E1897" s="6" t="s">
        <v>16</v>
      </c>
    </row>
    <row r="1898" spans="1:5" x14ac:dyDescent="0.25">
      <c r="A1898" s="3">
        <v>1897</v>
      </c>
      <c r="B1898" s="3" t="str">
        <f>HYPERLINK("https://www.kmpharma.in/product/31185","N,N-Dinitroso-Sotalol")</f>
        <v>N,N-Dinitroso-Sotalol</v>
      </c>
      <c r="C1898" s="3" t="str">
        <f>HYPERLINK("https://www.kmpharma.in/product/31185","KMS077004")</f>
        <v>KMS077004</v>
      </c>
      <c r="D1898" s="3" t="s">
        <v>7</v>
      </c>
      <c r="E1898" s="5" t="s">
        <v>321</v>
      </c>
    </row>
    <row r="1899" spans="1:5" x14ac:dyDescent="0.25">
      <c r="A1899" s="6">
        <v>1898</v>
      </c>
      <c r="B1899" s="6" t="str">
        <f>HYPERLINK("https://www.kmpharma.in/product/21264","N,N,N-Trinitroso Mitoxantrone Impurity")</f>
        <v>N,N,N-Trinitroso Mitoxantrone Impurity</v>
      </c>
      <c r="C1899" s="6" t="str">
        <f>HYPERLINK("https://www.kmpharma.in/product/21264","KMM150011")</f>
        <v>KMM150011</v>
      </c>
      <c r="D1899" s="6" t="s">
        <v>7</v>
      </c>
      <c r="E1899" s="7" t="s">
        <v>321</v>
      </c>
    </row>
    <row r="1900" spans="1:5" x14ac:dyDescent="0.25">
      <c r="A1900" s="3">
        <v>1899</v>
      </c>
      <c r="B1900" s="3" t="str">
        <f>HYPERLINK("https://www.kmpharma.in/product/21263","N,N,N,N-Tetranitroso Mitoxantrone Impurity")</f>
        <v>N,N,N,N-Tetranitroso Mitoxantrone Impurity</v>
      </c>
      <c r="C1900" s="3" t="str">
        <f>HYPERLINK("https://www.kmpharma.in/product/21263","KMM150012")</f>
        <v>KMM150012</v>
      </c>
      <c r="D1900" s="3" t="s">
        <v>7</v>
      </c>
      <c r="E1900" s="5" t="s">
        <v>321</v>
      </c>
    </row>
    <row r="1901" spans="1:5" x14ac:dyDescent="0.25">
      <c r="A1901" s="6">
        <v>1900</v>
      </c>
      <c r="B1901" s="6" t="str">
        <f>HYPERLINK("https://www.kmpharma.in/product/855","N,N'-Dinitroso Aciclovir EP Impurity K")</f>
        <v>N,N'-Dinitroso Aciclovir EP Impurity K</v>
      </c>
      <c r="C1901" s="6" t="str">
        <f>HYPERLINK("https://www.kmpharma.in/product/855","KMA059033")</f>
        <v>KMA059033</v>
      </c>
      <c r="D1901" s="6" t="s">
        <v>7</v>
      </c>
      <c r="E1901" s="7" t="s">
        <v>321</v>
      </c>
    </row>
    <row r="1902" spans="1:5" x14ac:dyDescent="0.25">
      <c r="A1902" s="3">
        <v>1901</v>
      </c>
      <c r="B1902" s="3" t="str">
        <f>HYPERLINK("https://www.kmpharma.in/product/15640","N,N'-Dinitroso Hexoprenaline")</f>
        <v>N,N'-Dinitroso Hexoprenaline</v>
      </c>
      <c r="C1902" s="3" t="str">
        <f>HYPERLINK("https://www.kmpharma.in/product/15640","KMH024002")</f>
        <v>KMH024002</v>
      </c>
      <c r="D1902" s="3" t="s">
        <v>7</v>
      </c>
      <c r="E1902" s="5" t="s">
        <v>321</v>
      </c>
    </row>
    <row r="1903" spans="1:5" x14ac:dyDescent="0.25">
      <c r="A1903" s="6">
        <v>1902</v>
      </c>
      <c r="B1903" s="6" t="str">
        <f>HYPERLINK("https://www.kmpharma.in/product/21146","N,N'-Dinitroso Mirabegron")</f>
        <v>N,N'-Dinitroso Mirabegron</v>
      </c>
      <c r="C1903" s="6" t="str">
        <f>HYPERLINK("https://www.kmpharma.in/product/21146","KMM003115")</f>
        <v>KMM003115</v>
      </c>
      <c r="D1903" s="6" t="s">
        <v>7</v>
      </c>
      <c r="E1903" s="7" t="s">
        <v>321</v>
      </c>
    </row>
    <row r="1904" spans="1:5" x14ac:dyDescent="0.25">
      <c r="A1904" s="3">
        <v>1903</v>
      </c>
      <c r="B1904" s="3" t="str">
        <f>HYPERLINK("https://www.kmpharma.in/product/23063","N’-Nitro-N-nitroso-N-methylguanidine")</f>
        <v>N’-Nitro-N-nitroso-N-methylguanidine</v>
      </c>
      <c r="C1904" s="3" t="str">
        <f>HYPERLINK("https://www.kmpharma.in/product/23063","KMN084111")</f>
        <v>KMN084111</v>
      </c>
      <c r="D1904" s="3" t="s">
        <v>277</v>
      </c>
      <c r="E1904" s="5" t="s">
        <v>323</v>
      </c>
    </row>
    <row r="1905" spans="1:5" x14ac:dyDescent="0.25">
      <c r="A1905" s="6">
        <v>1904</v>
      </c>
      <c r="B1905" s="6" t="str">
        <f>HYPERLINK("https://www.kmpharma.in/product/22454","N’-Nitrosonornicotine-1-N-Oxide")</f>
        <v>N’-Nitrosonornicotine-1-N-Oxide</v>
      </c>
      <c r="C1905" s="6" t="str">
        <f>HYPERLINK("https://www.kmpharma.in/product/22454","KMN061016")</f>
        <v>KMN061016</v>
      </c>
      <c r="D1905" s="6" t="s">
        <v>278</v>
      </c>
      <c r="E1905" s="6" t="s">
        <v>16</v>
      </c>
    </row>
    <row r="1906" spans="1:5" x14ac:dyDescent="0.25">
      <c r="A1906" s="3">
        <v>1905</v>
      </c>
      <c r="B1906" s="3" t="str">
        <f>HYPERLINK("https://www.kmpharma.in/product/14725","N1-Nitroso Furosemide EP Impurity D")</f>
        <v>N1-Nitroso Furosemide EP Impurity D</v>
      </c>
      <c r="C1906" s="3" t="str">
        <f>HYPERLINK("https://www.kmpharma.in/product/14725","KMF002026")</f>
        <v>KMF002026</v>
      </c>
      <c r="D1906" s="3" t="s">
        <v>7</v>
      </c>
      <c r="E1906" s="3" t="s">
        <v>16</v>
      </c>
    </row>
    <row r="1907" spans="1:5" x14ac:dyDescent="0.25">
      <c r="A1907" s="6">
        <v>1906</v>
      </c>
      <c r="B1907" s="6" t="str">
        <f>HYPERLINK("https://www.kmpharma.in/product/14724","N1,N2-Dinitroso Furosemide EP Impurity D")</f>
        <v>N1,N2-Dinitroso Furosemide EP Impurity D</v>
      </c>
      <c r="C1907" s="6" t="str">
        <f>HYPERLINK("https://www.kmpharma.in/product/14724","KMF002027")</f>
        <v>KMF002027</v>
      </c>
      <c r="D1907" s="6" t="s">
        <v>7</v>
      </c>
      <c r="E1907" s="6" t="s">
        <v>16</v>
      </c>
    </row>
    <row r="1908" spans="1:5" x14ac:dyDescent="0.25">
      <c r="A1908" s="3">
        <v>1907</v>
      </c>
      <c r="B1908" s="3" t="str">
        <f>HYPERLINK("https://www.kmpharma.in/product/14726","N2-Nitroso Furosemide EP Impurity D")</f>
        <v>N2-Nitroso Furosemide EP Impurity D</v>
      </c>
      <c r="C1908" s="3" t="str">
        <f>HYPERLINK("https://www.kmpharma.in/product/14726","KMF002028")</f>
        <v>KMF002028</v>
      </c>
      <c r="D1908" s="3" t="s">
        <v>7</v>
      </c>
      <c r="E1908" s="3" t="s">
        <v>16</v>
      </c>
    </row>
    <row r="1909" spans="1:5" x14ac:dyDescent="0.25">
      <c r="A1909" s="6">
        <v>1908</v>
      </c>
      <c r="B1909" s="6" t="str">
        <f>HYPERLINK("https://www.kmpharma.in/product/961","N6-methyl-N6-nitroso-Adenosine")</f>
        <v>N6-methyl-N6-nitroso-Adenosine</v>
      </c>
      <c r="C1909" s="6" t="str">
        <f>HYPERLINK("https://www.kmpharma.in/product/961","KMA067025")</f>
        <v>KMA067025</v>
      </c>
      <c r="D1909" s="6" t="s">
        <v>279</v>
      </c>
      <c r="E1909" s="7" t="s">
        <v>321</v>
      </c>
    </row>
    <row r="1910" spans="1:5" x14ac:dyDescent="0.25">
      <c r="A1910" s="3">
        <v>1909</v>
      </c>
      <c r="B1910" s="3" t="str">
        <f>HYPERLINK("https://www.kmpharma.in/product/21830","Naloxegol Nitroso Impurity 1")</f>
        <v>Naloxegol Nitroso Impurity 1</v>
      </c>
      <c r="C1910" s="3" t="str">
        <f>HYPERLINK("https://www.kmpharma.in/product/21830","KMN026004")</f>
        <v>KMN026004</v>
      </c>
      <c r="D1910" s="3" t="s">
        <v>7</v>
      </c>
      <c r="E1910" s="3" t="s">
        <v>16</v>
      </c>
    </row>
    <row r="1911" spans="1:5" x14ac:dyDescent="0.25">
      <c r="A1911" s="6">
        <v>1910</v>
      </c>
      <c r="B1911" s="6" t="str">
        <f>HYPERLINK("https://www.kmpharma.in/product/21999","Naratriptan Nitroso Impurity 1")</f>
        <v>Naratriptan Nitroso Impurity 1</v>
      </c>
      <c r="C1911" s="6" t="str">
        <f>HYPERLINK("https://www.kmpharma.in/product/21999","KMN034021")</f>
        <v>KMN034021</v>
      </c>
      <c r="D1911" s="6" t="s">
        <v>7</v>
      </c>
      <c r="E1911" s="7" t="s">
        <v>321</v>
      </c>
    </row>
    <row r="1912" spans="1:5" x14ac:dyDescent="0.25">
      <c r="A1912" s="3">
        <v>1911</v>
      </c>
      <c r="B1912" s="3" t="str">
        <f>HYPERLINK("https://www.kmpharma.in/product/22000","Naratriptan Nitroso Impurity 2")</f>
        <v>Naratriptan Nitroso Impurity 2</v>
      </c>
      <c r="C1912" s="3" t="str">
        <f>HYPERLINK("https://www.kmpharma.in/product/22000","KMN034022")</f>
        <v>KMN034022</v>
      </c>
      <c r="D1912" s="3" t="s">
        <v>7</v>
      </c>
      <c r="E1912" s="5" t="s">
        <v>321</v>
      </c>
    </row>
    <row r="1913" spans="1:5" x14ac:dyDescent="0.25">
      <c r="A1913" s="6">
        <v>1912</v>
      </c>
      <c r="B1913" s="6" t="str">
        <f>HYPERLINK("https://www.kmpharma.in/product/22001","Naratriptan Nitroso Impurity 3")</f>
        <v>Naratriptan Nitroso Impurity 3</v>
      </c>
      <c r="C1913" s="6" t="str">
        <f>HYPERLINK("https://www.kmpharma.in/product/22001","KMN034023")</f>
        <v>KMN034023</v>
      </c>
      <c r="D1913" s="6" t="s">
        <v>7</v>
      </c>
      <c r="E1913" s="7" t="s">
        <v>321</v>
      </c>
    </row>
    <row r="1914" spans="1:5" x14ac:dyDescent="0.25">
      <c r="A1914" s="3">
        <v>1913</v>
      </c>
      <c r="B1914" s="3" t="str">
        <f>HYPERLINK("https://www.kmpharma.in/product/22124","Nebivolol Nitroso Impurity 1")</f>
        <v>Nebivolol Nitroso Impurity 1</v>
      </c>
      <c r="C1914" s="3" t="str">
        <f>HYPERLINK("https://www.kmpharma.in/product/22124","KMN007090")</f>
        <v>KMN007090</v>
      </c>
      <c r="D1914" s="3" t="s">
        <v>7</v>
      </c>
      <c r="E1914" s="5" t="s">
        <v>321</v>
      </c>
    </row>
    <row r="1915" spans="1:5" x14ac:dyDescent="0.25">
      <c r="A1915" s="6">
        <v>1914</v>
      </c>
      <c r="B1915" s="6" t="str">
        <f>HYPERLINK("https://www.kmpharma.in/product/22134","Nedocromil Nitroso Impurity 1")</f>
        <v>Nedocromil Nitroso Impurity 1</v>
      </c>
      <c r="C1915" s="6" t="str">
        <f>HYPERLINK("https://www.kmpharma.in/product/22134","KMN041004")</f>
        <v>KMN041004</v>
      </c>
      <c r="D1915" s="6" t="s">
        <v>7</v>
      </c>
      <c r="E1915" s="7" t="s">
        <v>321</v>
      </c>
    </row>
    <row r="1916" spans="1:5" x14ac:dyDescent="0.25">
      <c r="A1916" s="3">
        <v>1915</v>
      </c>
      <c r="B1916" s="3" t="str">
        <f>HYPERLINK("https://www.kmpharma.in/product/22135","Nedocromil Nitroso Impurity 2")</f>
        <v>Nedocromil Nitroso Impurity 2</v>
      </c>
      <c r="C1916" s="3" t="str">
        <f>HYPERLINK("https://www.kmpharma.in/product/22135","KMN041005")</f>
        <v>KMN041005</v>
      </c>
      <c r="D1916" s="3" t="s">
        <v>7</v>
      </c>
      <c r="E1916" s="5" t="s">
        <v>321</v>
      </c>
    </row>
    <row r="1917" spans="1:5" x14ac:dyDescent="0.25">
      <c r="A1917" s="6">
        <v>1916</v>
      </c>
      <c r="B1917" s="6" t="str">
        <f>HYPERLINK("https://www.kmpharma.in/product/22176","Nelarabine Nitroso Impurity 1")</f>
        <v>Nelarabine Nitroso Impurity 1</v>
      </c>
      <c r="C1917" s="6" t="str">
        <f>HYPERLINK("https://www.kmpharma.in/product/22176","KMN043027")</f>
        <v>KMN043027</v>
      </c>
      <c r="D1917" s="6" t="s">
        <v>7</v>
      </c>
      <c r="E1917" s="7" t="s">
        <v>321</v>
      </c>
    </row>
    <row r="1918" spans="1:5" x14ac:dyDescent="0.25">
      <c r="A1918" s="3">
        <v>1917</v>
      </c>
      <c r="B1918" s="3" t="str">
        <f>HYPERLINK("https://www.kmpharma.in/product/22231","Neostigmine Monomethyl Nitroso Impurity")</f>
        <v>Neostigmine Monomethyl Nitroso Impurity</v>
      </c>
      <c r="C1918" s="3" t="str">
        <f>HYPERLINK("https://www.kmpharma.in/product/22231","KMN004022")</f>
        <v>KMN004022</v>
      </c>
      <c r="D1918" s="3" t="s">
        <v>7</v>
      </c>
      <c r="E1918" s="5" t="s">
        <v>321</v>
      </c>
    </row>
    <row r="1919" spans="1:5" x14ac:dyDescent="0.25">
      <c r="A1919" s="6">
        <v>1918</v>
      </c>
      <c r="B1919" s="6" t="str">
        <f>HYPERLINK("https://www.kmpharma.in/product/22232","Neostigmine Nitroso Impurity 1")</f>
        <v>Neostigmine Nitroso Impurity 1</v>
      </c>
      <c r="C1919" s="6" t="str">
        <f>HYPERLINK("https://www.kmpharma.in/product/22232","KMN004023")</f>
        <v>KMN004023</v>
      </c>
      <c r="D1919" s="6" t="s">
        <v>7</v>
      </c>
      <c r="E1919" s="7" t="s">
        <v>323</v>
      </c>
    </row>
    <row r="1920" spans="1:5" x14ac:dyDescent="0.25">
      <c r="A1920" s="3">
        <v>1919</v>
      </c>
      <c r="B1920" s="3" t="str">
        <f>HYPERLINK("https://www.kmpharma.in/product/22287","Netarsudil Nitroso Impurity 1")</f>
        <v>Netarsudil Nitroso Impurity 1</v>
      </c>
      <c r="C1920" s="3" t="str">
        <f>HYPERLINK("https://www.kmpharma.in/product/22287","KMN050023")</f>
        <v>KMN050023</v>
      </c>
      <c r="D1920" s="3" t="s">
        <v>280</v>
      </c>
      <c r="E1920" s="5" t="s">
        <v>323</v>
      </c>
    </row>
    <row r="1921" spans="1:5" x14ac:dyDescent="0.25">
      <c r="A1921" s="6">
        <v>1920</v>
      </c>
      <c r="B1921" s="6" t="str">
        <f>HYPERLINK("https://www.kmpharma.in/product/14596","Netupitant Nitroso Impurity 1")</f>
        <v>Netupitant Nitroso Impurity 1</v>
      </c>
      <c r="C1921" s="6" t="str">
        <f>HYPERLINK("https://www.kmpharma.in/product/14596","KMF110017")</f>
        <v>KMF110017</v>
      </c>
      <c r="D1921" s="6" t="s">
        <v>7</v>
      </c>
      <c r="E1921" s="7" t="s">
        <v>321</v>
      </c>
    </row>
    <row r="1922" spans="1:5" x14ac:dyDescent="0.25">
      <c r="A1922" s="3">
        <v>1921</v>
      </c>
      <c r="B1922" s="3" t="str">
        <f>HYPERLINK("https://www.kmpharma.in/product/22304","Nevirapine Nitroso impurity 1")</f>
        <v>Nevirapine Nitroso impurity 1</v>
      </c>
      <c r="C1922" s="3" t="str">
        <f>HYPERLINK("https://www.kmpharma.in/product/22304","KMN053014")</f>
        <v>KMN053014</v>
      </c>
      <c r="D1922" s="3" t="s">
        <v>7</v>
      </c>
      <c r="E1922" s="5" t="s">
        <v>321</v>
      </c>
    </row>
    <row r="1923" spans="1:5" x14ac:dyDescent="0.25">
      <c r="A1923" s="6">
        <v>1922</v>
      </c>
      <c r="B1923" s="6" t="str">
        <f>HYPERLINK("https://www.kmpharma.in/product/22305","Nevirapine Nitroso impurity 2")</f>
        <v>Nevirapine Nitroso impurity 2</v>
      </c>
      <c r="C1923" s="6" t="str">
        <f>HYPERLINK("https://www.kmpharma.in/product/22305","KMN053015")</f>
        <v>KMN053015</v>
      </c>
      <c r="D1923" s="6" t="s">
        <v>7</v>
      </c>
      <c r="E1923" s="7" t="s">
        <v>321</v>
      </c>
    </row>
    <row r="1924" spans="1:5" x14ac:dyDescent="0.25">
      <c r="A1924" s="3">
        <v>1923</v>
      </c>
      <c r="B1924" s="3" t="str">
        <f>HYPERLINK("https://www.kmpharma.in/product/22357","Nicardipine Nitroso Impurity")</f>
        <v>Nicardipine Nitroso Impurity</v>
      </c>
      <c r="C1924" s="3" t="str">
        <f>HYPERLINK("https://www.kmpharma.in/product/22357","KMN057029")</f>
        <v>KMN057029</v>
      </c>
      <c r="D1924" s="3" t="s">
        <v>7</v>
      </c>
      <c r="E1924" s="5" t="s">
        <v>321</v>
      </c>
    </row>
    <row r="1925" spans="1:5" x14ac:dyDescent="0.25">
      <c r="A1925" s="6">
        <v>1924</v>
      </c>
      <c r="B1925" s="6" t="str">
        <f>HYPERLINK("https://www.kmpharma.in/product/22447","Nicotine Nitroso Impurity 1")</f>
        <v>Nicotine Nitroso Impurity 1</v>
      </c>
      <c r="C1925" s="6" t="str">
        <f>HYPERLINK("https://www.kmpharma.in/product/22447","KMN061035")</f>
        <v>KMN061035</v>
      </c>
      <c r="D1925" s="6" t="s">
        <v>281</v>
      </c>
      <c r="E1925" s="7" t="s">
        <v>321</v>
      </c>
    </row>
    <row r="1926" spans="1:5" x14ac:dyDescent="0.25">
      <c r="A1926" s="3">
        <v>1925</v>
      </c>
      <c r="B1926" s="3" t="str">
        <f>HYPERLINK("https://www.kmpharma.in/product/22487","Nifedipine Nitroso Impurity")</f>
        <v>Nifedipine Nitroso Impurity</v>
      </c>
      <c r="C1926" s="3" t="str">
        <f>HYPERLINK("https://www.kmpharma.in/product/22487","KMN009015")</f>
        <v>KMN009015</v>
      </c>
      <c r="D1926" s="3" t="s">
        <v>7</v>
      </c>
      <c r="E1926" s="5" t="s">
        <v>321</v>
      </c>
    </row>
    <row r="1927" spans="1:5" x14ac:dyDescent="0.25">
      <c r="A1927" s="6">
        <v>1926</v>
      </c>
      <c r="B1927" s="6" t="str">
        <f>HYPERLINK("https://www.kmpharma.in/product/22598","Nilotinib Nitroso Impurity 1")</f>
        <v>Nilotinib Nitroso Impurity 1</v>
      </c>
      <c r="C1927" s="6" t="str">
        <f>HYPERLINK("https://www.kmpharma.in/product/22598","KMN005080")</f>
        <v>KMN005080</v>
      </c>
      <c r="D1927" s="6" t="s">
        <v>282</v>
      </c>
      <c r="E1927" s="7" t="s">
        <v>322</v>
      </c>
    </row>
    <row r="1928" spans="1:5" x14ac:dyDescent="0.25">
      <c r="A1928" s="3">
        <v>1927</v>
      </c>
      <c r="B1928" s="3" t="str">
        <f>HYPERLINK("https://www.kmpharma.in/product/22630","Nimodipine Nitroso Impurity 1")</f>
        <v>Nimodipine Nitroso Impurity 1</v>
      </c>
      <c r="C1928" s="3" t="str">
        <f>HYPERLINK("https://www.kmpharma.in/product/22630","KMN070017")</f>
        <v>KMN070017</v>
      </c>
      <c r="D1928" s="3" t="s">
        <v>7</v>
      </c>
      <c r="E1928" s="5" t="s">
        <v>321</v>
      </c>
    </row>
    <row r="1929" spans="1:5" x14ac:dyDescent="0.25">
      <c r="A1929" s="6">
        <v>1928</v>
      </c>
      <c r="B1929" s="6" t="str">
        <f>HYPERLINK("https://www.kmpharma.in/product/22713","Nintedanib Nitroso Impurity 2")</f>
        <v>Nintedanib Nitroso Impurity 2</v>
      </c>
      <c r="C1929" s="6" t="str">
        <f>HYPERLINK("https://www.kmpharma.in/product/22713","KMN002088")</f>
        <v>KMN002088</v>
      </c>
      <c r="D1929" s="6" t="s">
        <v>283</v>
      </c>
      <c r="E1929" s="7" t="s">
        <v>322</v>
      </c>
    </row>
    <row r="1930" spans="1:5" x14ac:dyDescent="0.25">
      <c r="A1930" s="3">
        <v>1929</v>
      </c>
      <c r="B1930" s="3" t="str">
        <f>HYPERLINK("https://www.kmpharma.in/product/22715","Nintedanib Nitroso Impurity 3")</f>
        <v>Nintedanib Nitroso Impurity 3</v>
      </c>
      <c r="C1930" s="3" t="str">
        <f>HYPERLINK("https://www.kmpharma.in/product/22715","KMN002089")</f>
        <v>KMN002089</v>
      </c>
      <c r="D1930" s="3" t="s">
        <v>7</v>
      </c>
      <c r="E1930" s="5" t="s">
        <v>321</v>
      </c>
    </row>
    <row r="1931" spans="1:5" x14ac:dyDescent="0.25">
      <c r="A1931" s="6">
        <v>1930</v>
      </c>
      <c r="B1931" s="6" t="str">
        <f>HYPERLINK("https://www.kmpharma.in/product/22791","Niraparib Carboxylic Acid Nitroso Impurity")</f>
        <v>Niraparib Carboxylic Acid Nitroso Impurity</v>
      </c>
      <c r="C1931" s="6" t="str">
        <f>HYPERLINK("https://www.kmpharma.in/product/22791","KMN073008")</f>
        <v>KMN073008</v>
      </c>
      <c r="D1931" s="6" t="s">
        <v>7</v>
      </c>
      <c r="E1931" s="7" t="s">
        <v>321</v>
      </c>
    </row>
    <row r="1932" spans="1:5" x14ac:dyDescent="0.25">
      <c r="A1932" s="3">
        <v>1931</v>
      </c>
      <c r="B1932" s="3" t="str">
        <f>HYPERLINK("https://www.kmpharma.in/product/22792","Niraparib Nitroso Impurity 1")</f>
        <v>Niraparib Nitroso Impurity 1</v>
      </c>
      <c r="C1932" s="3" t="str">
        <f>HYPERLINK("https://www.kmpharma.in/product/22792","KMN073072")</f>
        <v>KMN073072</v>
      </c>
      <c r="D1932" s="3" t="s">
        <v>7</v>
      </c>
      <c r="E1932" s="5" t="s">
        <v>321</v>
      </c>
    </row>
    <row r="1933" spans="1:5" x14ac:dyDescent="0.25">
      <c r="A1933" s="6">
        <v>1932</v>
      </c>
      <c r="B1933" s="6" t="str">
        <f>HYPERLINK("https://www.kmpharma.in/product/22872","Nitenpyram Nitroso Impurity 1")</f>
        <v>Nitenpyram Nitroso Impurity 1</v>
      </c>
      <c r="C1933" s="6" t="str">
        <f>HYPERLINK("https://www.kmpharma.in/product/22872","KMN078007")</f>
        <v>KMN078007</v>
      </c>
      <c r="D1933" s="6" t="s">
        <v>7</v>
      </c>
      <c r="E1933" s="7" t="s">
        <v>321</v>
      </c>
    </row>
    <row r="1934" spans="1:5" x14ac:dyDescent="0.25">
      <c r="A1934" s="3">
        <v>1933</v>
      </c>
      <c r="B1934" s="3" t="str">
        <f>HYPERLINK("https://www.kmpharma.in/product/22906","Nitrofurantoin Nitroso Impurity 1")</f>
        <v>Nitrofurantoin Nitroso Impurity 1</v>
      </c>
      <c r="C1934" s="3" t="str">
        <f>HYPERLINK("https://www.kmpharma.in/product/22906","KMN003008")</f>
        <v>KMN003008</v>
      </c>
      <c r="D1934" s="3" t="s">
        <v>7</v>
      </c>
      <c r="E1934" s="5" t="s">
        <v>321</v>
      </c>
    </row>
    <row r="1935" spans="1:5" x14ac:dyDescent="0.25">
      <c r="A1935" s="6">
        <v>1934</v>
      </c>
      <c r="B1935" s="6" t="str">
        <f>HYPERLINK("https://www.kmpharma.in/product/35098","Nitroso Amlodipine EP Impurity B")</f>
        <v>Nitroso Amlodipine EP Impurity B</v>
      </c>
      <c r="C1935" s="6" t="str">
        <f>HYPERLINK("https://www.kmpharma.in/product/35098","KMA011111")</f>
        <v>KMA011111</v>
      </c>
      <c r="D1935" s="6" t="s">
        <v>7</v>
      </c>
      <c r="E1935" s="7" t="s">
        <v>321</v>
      </c>
    </row>
    <row r="1936" spans="1:5" x14ac:dyDescent="0.25">
      <c r="A1936" s="3">
        <v>1935</v>
      </c>
      <c r="B1936" s="3" t="str">
        <f>HYPERLINK("https://www.kmpharma.in/product/233","Nitroso Clobazam EP Impurity F")</f>
        <v>Nitroso Clobazam EP Impurity F</v>
      </c>
      <c r="C1936" s="3" t="str">
        <f>HYPERLINK("https://www.kmpharma.in/product/233","KMC014002")</f>
        <v>KMC014002</v>
      </c>
      <c r="D1936" s="3" t="s">
        <v>35</v>
      </c>
      <c r="E1936" s="5" t="s">
        <v>321</v>
      </c>
    </row>
    <row r="1937" spans="1:5" x14ac:dyDescent="0.25">
      <c r="A1937" s="6">
        <v>1936</v>
      </c>
      <c r="B1937" s="6" t="str">
        <f>HYPERLINK("https://www.kmpharma.in/product/237","Nitroso Clonidine Related Compound A")</f>
        <v>Nitroso Clonidine Related Compound A</v>
      </c>
      <c r="C1937" s="6" t="str">
        <f>HYPERLINK("https://www.kmpharma.in/product/237","KMC003007")</f>
        <v>KMC003007</v>
      </c>
      <c r="D1937" s="6" t="s">
        <v>35</v>
      </c>
      <c r="E1937" s="7" t="s">
        <v>321</v>
      </c>
    </row>
    <row r="1938" spans="1:5" x14ac:dyDescent="0.25">
      <c r="A1938" s="3">
        <v>1937</v>
      </c>
      <c r="B1938" s="3" t="str">
        <f>HYPERLINK("https://www.kmpharma.in/product/12258","Nitroso Cyanodiol")</f>
        <v>Nitroso Cyanodiol</v>
      </c>
      <c r="C1938" s="3" t="str">
        <f>HYPERLINK("https://www.kmpharma.in/product/12258","KME004043")</f>
        <v>KME004043</v>
      </c>
      <c r="D1938" s="3" t="s">
        <v>7</v>
      </c>
      <c r="E1938" s="5" t="s">
        <v>321</v>
      </c>
    </row>
    <row r="1939" spans="1:5" x14ac:dyDescent="0.25">
      <c r="A1939" s="6">
        <v>1938</v>
      </c>
      <c r="B1939" s="6" t="str">
        <f>HYPERLINK("https://www.kmpharma.in/product/177","Nitroso HEEP")</f>
        <v>Nitroso HEEP</v>
      </c>
      <c r="C1939" s="6" t="str">
        <f>HYPERLINK("https://www.kmpharma.in/product/177","KMQ001006")</f>
        <v>KMQ001006</v>
      </c>
      <c r="D1939" s="6" t="s">
        <v>194</v>
      </c>
      <c r="E1939" s="7" t="s">
        <v>323</v>
      </c>
    </row>
    <row r="1940" spans="1:5" x14ac:dyDescent="0.25">
      <c r="A1940" s="3">
        <v>1939</v>
      </c>
      <c r="B1940" s="3" t="str">
        <f>HYPERLINK("https://www.kmpharma.in/product/36520","Nitroso Hydroxy Propylethyl Diamine Gatifloxacin")</f>
        <v>Nitroso Hydroxy Propylethyl Diamine Gatifloxacin</v>
      </c>
      <c r="C1940" s="3" t="str">
        <f>HYPERLINK("https://www.kmpharma.in/product/36520","KMG001036")</f>
        <v>KMG001036</v>
      </c>
      <c r="D1940" s="3" t="s">
        <v>7</v>
      </c>
      <c r="E1940" s="5" t="s">
        <v>323</v>
      </c>
    </row>
    <row r="1941" spans="1:5" x14ac:dyDescent="0.25">
      <c r="A1941" s="6">
        <v>1940</v>
      </c>
      <c r="B1941" s="6" t="str">
        <f>HYPERLINK("https://www.kmpharma.in/product/16694","Nitroso Irbesartan")</f>
        <v>Nitroso Irbesartan</v>
      </c>
      <c r="C1941" s="6" t="str">
        <f>HYPERLINK("https://www.kmpharma.in/product/16694","KMI001049")</f>
        <v>KMI001049</v>
      </c>
      <c r="D1941" s="6" t="s">
        <v>284</v>
      </c>
      <c r="E1941" s="6" t="s">
        <v>16</v>
      </c>
    </row>
    <row r="1942" spans="1:5" x14ac:dyDescent="0.25">
      <c r="A1942" s="3">
        <v>1941</v>
      </c>
      <c r="B1942" s="3" t="str">
        <f>HYPERLINK("https://www.kmpharma.in/product/16695","Nitroso Irbesartan 1")</f>
        <v>Nitroso Irbesartan 1</v>
      </c>
      <c r="C1942" s="3" t="str">
        <f>HYPERLINK("https://www.kmpharma.in/product/16695","KMI001050")</f>
        <v>KMI001050</v>
      </c>
      <c r="D1942" s="3" t="s">
        <v>7</v>
      </c>
      <c r="E1942" s="3" t="s">
        <v>16</v>
      </c>
    </row>
    <row r="1943" spans="1:5" x14ac:dyDescent="0.25">
      <c r="A1943" s="6">
        <v>1942</v>
      </c>
      <c r="B1943" s="6" t="str">
        <f>HYPERLINK("https://www.kmpharma.in/product/225","Nitroso Isonipicotic acid")</f>
        <v>Nitroso Isonipicotic acid</v>
      </c>
      <c r="C1943" s="6" t="str">
        <f>HYPERLINK("https://www.kmpharma.in/product/225","KMI014001")</f>
        <v>KMI014001</v>
      </c>
      <c r="D1943" s="6" t="s">
        <v>35</v>
      </c>
      <c r="E1943" s="6" t="s">
        <v>16</v>
      </c>
    </row>
    <row r="1944" spans="1:5" x14ac:dyDescent="0.25">
      <c r="A1944" s="3">
        <v>1943</v>
      </c>
      <c r="B1944" s="3" t="str">
        <f>HYPERLINK("https://www.kmpharma.in/product/17712","Nitroso Lansoprazole Sulfide")</f>
        <v>Nitroso Lansoprazole Sulfide</v>
      </c>
      <c r="C1944" s="3" t="str">
        <f>HYPERLINK("https://www.kmpharma.in/product/17712","KML003048")</f>
        <v>KML003048</v>
      </c>
      <c r="D1944" s="3" t="s">
        <v>7</v>
      </c>
      <c r="E1944" s="5" t="s">
        <v>321</v>
      </c>
    </row>
    <row r="1945" spans="1:5" x14ac:dyDescent="0.25">
      <c r="A1945" s="6">
        <v>1944</v>
      </c>
      <c r="B1945" s="6" t="str">
        <f>HYPERLINK("https://www.kmpharma.in/product/228","Nitroso Metaxalone Related Compound C")</f>
        <v>Nitroso Metaxalone Related Compound C</v>
      </c>
      <c r="C1945" s="6" t="str">
        <f>HYPERLINK("https://www.kmpharma.in/product/228","KMM004001")</f>
        <v>KMM004001</v>
      </c>
      <c r="D1945" s="6" t="s">
        <v>35</v>
      </c>
      <c r="E1945" s="7" t="s">
        <v>321</v>
      </c>
    </row>
    <row r="1946" spans="1:5" x14ac:dyDescent="0.25">
      <c r="A1946" s="3">
        <v>1945</v>
      </c>
      <c r="B1946" s="3" t="str">
        <f>HYPERLINK("https://www.kmpharma.in/product/282","Nitroso Methylphenylamine (NMPA)")</f>
        <v>Nitroso Methylphenylamine (NMPA)</v>
      </c>
      <c r="C1946" s="3" t="str">
        <f>HYPERLINK("https://www.kmpharma.in/product/282","KMN001014")</f>
        <v>KMN001014</v>
      </c>
      <c r="D1946" s="3" t="s">
        <v>285</v>
      </c>
      <c r="E1946" s="5" t="s">
        <v>321</v>
      </c>
    </row>
    <row r="1947" spans="1:5" x14ac:dyDescent="0.25">
      <c r="A1947" s="6">
        <v>1946</v>
      </c>
      <c r="B1947" s="6" t="str">
        <f>HYPERLINK("https://www.kmpharma.in/product/294","Nitroso of HPED")</f>
        <v>Nitroso of HPED</v>
      </c>
      <c r="C1947" s="6" t="str">
        <f>HYPERLINK("https://www.kmpharma.in/product/294","KMG001003")</f>
        <v>KMG001003</v>
      </c>
      <c r="D1947" s="6" t="s">
        <v>35</v>
      </c>
      <c r="E1947" s="7" t="s">
        <v>321</v>
      </c>
    </row>
    <row r="1948" spans="1:5" x14ac:dyDescent="0.25">
      <c r="A1948" s="3">
        <v>1947</v>
      </c>
      <c r="B1948" s="3" t="str">
        <f>HYPERLINK("https://www.kmpharma.in/product/23639","Nitroso Olmesartan")</f>
        <v>Nitroso Olmesartan</v>
      </c>
      <c r="C1948" s="3" t="str">
        <f>HYPERLINK("https://www.kmpharma.in/product/23639","KMO006009")</f>
        <v>KMO006009</v>
      </c>
      <c r="D1948" s="3" t="s">
        <v>7</v>
      </c>
      <c r="E1948" s="5" t="s">
        <v>321</v>
      </c>
    </row>
    <row r="1949" spans="1:5" x14ac:dyDescent="0.25">
      <c r="A1949" s="6">
        <v>1948</v>
      </c>
      <c r="B1949" s="6" t="str">
        <f>HYPERLINK("https://www.kmpharma.in/product/178","Nitroso Piperazine Ethanol")</f>
        <v>Nitroso Piperazine Ethanol</v>
      </c>
      <c r="C1949" s="6" t="str">
        <f>HYPERLINK("https://www.kmpharma.in/product/178","KMQ001007")</f>
        <v>KMQ001007</v>
      </c>
      <c r="D1949" s="6" t="s">
        <v>286</v>
      </c>
      <c r="E1949" s="7" t="s">
        <v>321</v>
      </c>
    </row>
    <row r="1950" spans="1:5" x14ac:dyDescent="0.25">
      <c r="A1950" s="3">
        <v>1949</v>
      </c>
      <c r="B1950" s="3" t="str">
        <f>HYPERLINK("https://www.kmpharma.in/product/30501","Nitroso Prodenafil")</f>
        <v>Nitroso Prodenafil</v>
      </c>
      <c r="C1950" s="3" t="str">
        <f>HYPERLINK("https://www.kmpharma.in/product/30501","KMS002026")</f>
        <v>KMS002026</v>
      </c>
      <c r="D1950" s="3" t="s">
        <v>7</v>
      </c>
      <c r="E1950" s="5" t="s">
        <v>321</v>
      </c>
    </row>
    <row r="1951" spans="1:5" x14ac:dyDescent="0.25">
      <c r="A1951" s="6">
        <v>1950</v>
      </c>
      <c r="B1951" s="6" t="str">
        <f>HYPERLINK("https://www.kmpharma.in/product/36522","Nitroso Quinoline Ester Gatifloxacin")</f>
        <v>Nitroso Quinoline Ester Gatifloxacin</v>
      </c>
      <c r="C1951" s="6" t="str">
        <f>HYPERLINK("https://www.kmpharma.in/product/36522","KMG001037")</f>
        <v>KMG001037</v>
      </c>
      <c r="D1951" s="6" t="s">
        <v>7</v>
      </c>
      <c r="E1951" s="7" t="s">
        <v>321</v>
      </c>
    </row>
    <row r="1952" spans="1:5" x14ac:dyDescent="0.25">
      <c r="A1952" s="3">
        <v>1951</v>
      </c>
      <c r="B1952" s="3" t="str">
        <f>HYPERLINK("https://www.kmpharma.in/product/27603","Nitroso Rabeprazole")</f>
        <v>Nitroso Rabeprazole</v>
      </c>
      <c r="C1952" s="3" t="str">
        <f>HYPERLINK("https://www.kmpharma.in/product/27603","KMR014019")</f>
        <v>KMR014019</v>
      </c>
      <c r="D1952" s="3" t="s">
        <v>7</v>
      </c>
      <c r="E1952" s="5" t="s">
        <v>323</v>
      </c>
    </row>
    <row r="1953" spans="1:5" x14ac:dyDescent="0.25">
      <c r="A1953" s="6">
        <v>1952</v>
      </c>
      <c r="B1953" s="6" t="str">
        <f>HYPERLINK("https://www.kmpharma.in/product/39133","Nitroso Valsartan Benzyl Ester")</f>
        <v>Nitroso Valsartan Benzyl Ester</v>
      </c>
      <c r="C1953" s="6" t="str">
        <f>HYPERLINK("https://www.kmpharma.in/product/39133","KMV008021")</f>
        <v>KMV008021</v>
      </c>
      <c r="D1953" s="6" t="s">
        <v>7</v>
      </c>
      <c r="E1953" s="7" t="s">
        <v>321</v>
      </c>
    </row>
    <row r="1954" spans="1:5" x14ac:dyDescent="0.25">
      <c r="A1954" s="3">
        <v>1953</v>
      </c>
      <c r="B1954" s="3" t="str">
        <f>HYPERLINK("https://www.kmpharma.in/product/39134","Nitroso Valsartan-II")</f>
        <v>Nitroso Valsartan-II</v>
      </c>
      <c r="C1954" s="3" t="str">
        <f>HYPERLINK("https://www.kmpharma.in/product/39134","KMV008022")</f>
        <v>KMV008022</v>
      </c>
      <c r="D1954" s="3" t="s">
        <v>7</v>
      </c>
      <c r="E1954" s="5" t="s">
        <v>321</v>
      </c>
    </row>
    <row r="1955" spans="1:5" x14ac:dyDescent="0.25">
      <c r="A1955" s="6">
        <v>1954</v>
      </c>
      <c r="B1955" s="6" t="str">
        <f>HYPERLINK("https://www.kmpharma.in/product/6316","Nitroso-4-Hydroxy Carbazole Carvedilol")</f>
        <v>Nitroso-4-Hydroxy Carbazole Carvedilol</v>
      </c>
      <c r="C1955" s="6" t="str">
        <f>HYPERLINK("https://www.kmpharma.in/product/6316","KMC005050")</f>
        <v>KMC005050</v>
      </c>
      <c r="D1955" s="6" t="s">
        <v>7</v>
      </c>
      <c r="E1955" s="7" t="s">
        <v>323</v>
      </c>
    </row>
    <row r="1956" spans="1:5" x14ac:dyDescent="0.25">
      <c r="A1956" s="3">
        <v>1955</v>
      </c>
      <c r="B1956" s="3" t="str">
        <f>HYPERLINK("https://www.kmpharma.in/product/6313","Nitroso-Epoxy Propoxy Carbazole Carvedilol")</f>
        <v>Nitroso-Epoxy Propoxy Carbazole Carvedilol</v>
      </c>
      <c r="C1956" s="3" t="str">
        <f>HYPERLINK("https://www.kmpharma.in/product/6313","KMC005051")</f>
        <v>KMC005051</v>
      </c>
      <c r="D1956" s="3" t="s">
        <v>7</v>
      </c>
      <c r="E1956" s="5" t="s">
        <v>321</v>
      </c>
    </row>
    <row r="1957" spans="1:5" x14ac:dyDescent="0.25">
      <c r="A1957" s="6">
        <v>1956</v>
      </c>
      <c r="B1957" s="6" t="str">
        <f>HYPERLINK("https://www.kmpharma.in/product/12259","Nitroso-Escitalopram Impurity 2")</f>
        <v>Nitroso-Escitalopram Impurity 2</v>
      </c>
      <c r="C1957" s="6" t="str">
        <f>HYPERLINK("https://www.kmpharma.in/product/12259","KME004044")</f>
        <v>KME004044</v>
      </c>
      <c r="D1957" s="6" t="s">
        <v>7</v>
      </c>
      <c r="E1957" s="7" t="s">
        <v>321</v>
      </c>
    </row>
    <row r="1958" spans="1:5" x14ac:dyDescent="0.25">
      <c r="A1958" s="3">
        <v>1957</v>
      </c>
      <c r="B1958" s="3" t="str">
        <f>HYPERLINK("https://www.kmpharma.in/product/12254","Nitroso-Escitalopram Impurity A")</f>
        <v>Nitroso-Escitalopram Impurity A</v>
      </c>
      <c r="C1958" s="3" t="str">
        <f>HYPERLINK("https://www.kmpharma.in/product/12254","KME004045")</f>
        <v>KME004045</v>
      </c>
      <c r="D1958" s="3" t="s">
        <v>7</v>
      </c>
      <c r="E1958" s="5" t="s">
        <v>321</v>
      </c>
    </row>
    <row r="1959" spans="1:5" x14ac:dyDescent="0.25">
      <c r="A1959" s="6">
        <v>1958</v>
      </c>
      <c r="B1959" s="6" t="str">
        <f>HYPERLINK("https://www.kmpharma.in/product/12255","Nitroso-Escitalopram Impurity B")</f>
        <v>Nitroso-Escitalopram Impurity B</v>
      </c>
      <c r="C1959" s="6" t="str">
        <f>HYPERLINK("https://www.kmpharma.in/product/12255","KME004046")</f>
        <v>KME004046</v>
      </c>
      <c r="D1959" s="6" t="s">
        <v>7</v>
      </c>
      <c r="E1959" s="7" t="s">
        <v>321</v>
      </c>
    </row>
    <row r="1960" spans="1:5" x14ac:dyDescent="0.25">
      <c r="A1960" s="3">
        <v>1959</v>
      </c>
      <c r="B1960" s="3" t="str">
        <f>HYPERLINK("https://www.kmpharma.in/product/36518","Nitroso-Methyl Piperazine Gatifloxacin")</f>
        <v>Nitroso-Methyl Piperazine Gatifloxacin</v>
      </c>
      <c r="C1960" s="3" t="str">
        <f>HYPERLINK("https://www.kmpharma.in/product/36518","KMG001038")</f>
        <v>KMG001038</v>
      </c>
      <c r="D1960" s="3" t="s">
        <v>7</v>
      </c>
      <c r="E1960" s="5" t="s">
        <v>321</v>
      </c>
    </row>
    <row r="1961" spans="1:5" x14ac:dyDescent="0.25">
      <c r="A1961" s="6">
        <v>1960</v>
      </c>
      <c r="B1961" s="6" t="str">
        <f>HYPERLINK("https://www.kmpharma.in/product/2059","Nitrosoantipyrine")</f>
        <v>Nitrosoantipyrine</v>
      </c>
      <c r="C1961" s="6" t="str">
        <f>HYPERLINK("https://www.kmpharma.in/product/2059","KMA153007")</f>
        <v>KMA153007</v>
      </c>
      <c r="D1961" s="6" t="s">
        <v>287</v>
      </c>
      <c r="E1961" s="7" t="s">
        <v>321</v>
      </c>
    </row>
    <row r="1962" spans="1:5" x14ac:dyDescent="0.25">
      <c r="A1962" s="3">
        <v>1961</v>
      </c>
      <c r="B1962" s="3" t="str">
        <f>HYPERLINK("https://www.kmpharma.in/product/22908","Nitrosobis(2-hydroxyethyl)amine-d8")</f>
        <v>Nitrosobis(2-hydroxyethyl)amine-d8</v>
      </c>
      <c r="C1962" s="3" t="str">
        <f>HYPERLINK("https://www.kmpharma.in/product/22908","KMN084168")</f>
        <v>KMN084168</v>
      </c>
      <c r="D1962" s="3" t="s">
        <v>288</v>
      </c>
      <c r="E1962" s="3" t="s">
        <v>16</v>
      </c>
    </row>
    <row r="1963" spans="1:5" x14ac:dyDescent="0.25">
      <c r="A1963" s="6">
        <v>1962</v>
      </c>
      <c r="B1963" s="6" t="str">
        <f>HYPERLINK("https://www.kmpharma.in/product/15477","Nitrosoguanidine")</f>
        <v>Nitrosoguanidine</v>
      </c>
      <c r="C1963" s="6" t="str">
        <f>HYPERLINK("https://www.kmpharma.in/product/15477","KMG063025")</f>
        <v>KMG063025</v>
      </c>
      <c r="D1963" s="6" t="s">
        <v>289</v>
      </c>
      <c r="E1963" s="7" t="s">
        <v>321</v>
      </c>
    </row>
    <row r="1964" spans="1:5" x14ac:dyDescent="0.25">
      <c r="A1964" s="3">
        <v>1963</v>
      </c>
      <c r="B1964" s="3" t="str">
        <f>HYPERLINK("https://www.kmpharma.in/product/23100","Nizatidine Nitroso Impurity 1")</f>
        <v>Nizatidine Nitroso Impurity 1</v>
      </c>
      <c r="C1964" s="3" t="str">
        <f>HYPERLINK("https://www.kmpharma.in/product/23100","KMN087022")</f>
        <v>KMN087022</v>
      </c>
      <c r="D1964" s="3" t="s">
        <v>7</v>
      </c>
      <c r="E1964" s="5" t="s">
        <v>321</v>
      </c>
    </row>
    <row r="1965" spans="1:5" x14ac:dyDescent="0.25">
      <c r="A1965" s="6">
        <v>1964</v>
      </c>
      <c r="B1965" s="6" t="str">
        <f>HYPERLINK("https://www.kmpharma.in/product/23101","Nizatidine Nitroso Impurity 2")</f>
        <v>Nizatidine Nitroso Impurity 2</v>
      </c>
      <c r="C1965" s="6" t="str">
        <f>HYPERLINK("https://www.kmpharma.in/product/23101","KMN087023")</f>
        <v>KMN087023</v>
      </c>
      <c r="D1965" s="6" t="s">
        <v>7</v>
      </c>
      <c r="E1965" s="7" t="s">
        <v>321</v>
      </c>
    </row>
    <row r="1966" spans="1:5" x14ac:dyDescent="0.25">
      <c r="A1966" s="3">
        <v>1965</v>
      </c>
      <c r="B1966" s="3" t="str">
        <f>HYPERLINK("https://www.kmpharma.in/product/23102","Nizatidine Nitroso Impurity 3")</f>
        <v>Nizatidine Nitroso Impurity 3</v>
      </c>
      <c r="C1966" s="3" t="str">
        <f>HYPERLINK("https://www.kmpharma.in/product/23102","KMN087024")</f>
        <v>KMN087024</v>
      </c>
      <c r="D1966" s="3" t="s">
        <v>7</v>
      </c>
      <c r="E1966" s="5" t="s">
        <v>321</v>
      </c>
    </row>
    <row r="1967" spans="1:5" x14ac:dyDescent="0.25">
      <c r="A1967" s="6">
        <v>1966</v>
      </c>
      <c r="B1967" s="6" t="str">
        <f>HYPERLINK("https://www.kmpharma.in/product/22448","NNN (N'-nitrosonornicotine)")</f>
        <v>NNN (N'-nitrosonornicotine)</v>
      </c>
      <c r="C1967" s="6" t="str">
        <f>HYPERLINK("https://www.kmpharma.in/product/22448","KMN061046")</f>
        <v>KMN061046</v>
      </c>
      <c r="D1967" s="6" t="s">
        <v>290</v>
      </c>
      <c r="E1967" s="7" t="s">
        <v>323</v>
      </c>
    </row>
    <row r="1968" spans="1:5" x14ac:dyDescent="0.25">
      <c r="A1968" s="3">
        <v>1967</v>
      </c>
      <c r="B1968" s="3" t="str">
        <f>HYPERLINK("https://www.kmpharma.in/product/23249","Norfloxacin Nitroso Impurity 1")</f>
        <v>Norfloxacin Nitroso Impurity 1</v>
      </c>
      <c r="C1968" s="3" t="str">
        <f>HYPERLINK("https://www.kmpharma.in/product/23249","KMN096021")</f>
        <v>KMN096021</v>
      </c>
      <c r="D1968" s="3" t="s">
        <v>7</v>
      </c>
      <c r="E1968" s="5" t="s">
        <v>321</v>
      </c>
    </row>
    <row r="1969" spans="1:5" x14ac:dyDescent="0.25">
      <c r="A1969" s="6">
        <v>1968</v>
      </c>
      <c r="B1969" s="6" t="str">
        <f>HYPERLINK("https://www.kmpharma.in/product/23290","Nortriptyline Nitroso Impurity 1")</f>
        <v>Nortriptyline Nitroso Impurity 1</v>
      </c>
      <c r="C1969" s="6" t="str">
        <f>HYPERLINK("https://www.kmpharma.in/product/23290","KMN102022")</f>
        <v>KMN102022</v>
      </c>
      <c r="D1969" s="6" t="s">
        <v>7</v>
      </c>
      <c r="E1969" s="7" t="s">
        <v>321</v>
      </c>
    </row>
    <row r="1970" spans="1:5" x14ac:dyDescent="0.25">
      <c r="A1970" s="3">
        <v>1969</v>
      </c>
      <c r="B1970" s="3" t="str">
        <f>HYPERLINK("https://www.kmpharma.in/product/23536","Olaparib Nitroso Impurity 1")</f>
        <v>Olaparib Nitroso Impurity 1</v>
      </c>
      <c r="C1970" s="3" t="str">
        <f>HYPERLINK("https://www.kmpharma.in/product/23536","KMO020064")</f>
        <v>KMO020064</v>
      </c>
      <c r="D1970" s="3" t="s">
        <v>291</v>
      </c>
      <c r="E1970" s="5" t="s">
        <v>323</v>
      </c>
    </row>
    <row r="1971" spans="1:5" x14ac:dyDescent="0.25">
      <c r="A1971" s="6">
        <v>1970</v>
      </c>
      <c r="B1971" s="6" t="str">
        <f>HYPERLINK("https://www.kmpharma.in/product/23537","Olaparib Nitroso Impurity 2")</f>
        <v>Olaparib Nitroso Impurity 2</v>
      </c>
      <c r="C1971" s="6" t="str">
        <f>HYPERLINK("https://www.kmpharma.in/product/23537","KMO020065")</f>
        <v>KMO020065</v>
      </c>
      <c r="D1971" s="6" t="s">
        <v>7</v>
      </c>
      <c r="E1971" s="6" t="s">
        <v>16</v>
      </c>
    </row>
    <row r="1972" spans="1:5" x14ac:dyDescent="0.25">
      <c r="A1972" s="3">
        <v>1971</v>
      </c>
      <c r="B1972" s="3" t="str">
        <f>HYPERLINK("https://www.kmpharma.in/product/23645","Olmesartan Nitroso Impurity 1")</f>
        <v>Olmesartan Nitroso Impurity 1</v>
      </c>
      <c r="C1972" s="3" t="str">
        <f>HYPERLINK("https://www.kmpharma.in/product/23645","KMO006096")</f>
        <v>KMO006096</v>
      </c>
      <c r="D1972" s="3" t="s">
        <v>7</v>
      </c>
      <c r="E1972" s="5" t="s">
        <v>321</v>
      </c>
    </row>
    <row r="1973" spans="1:5" x14ac:dyDescent="0.25">
      <c r="A1973" s="6">
        <v>1972</v>
      </c>
      <c r="B1973" s="6" t="str">
        <f>HYPERLINK("https://www.kmpharma.in/product/23767","Omeprazole Hydroxymethyl Nitroso Impurity")</f>
        <v>Omeprazole Hydroxymethyl Nitroso Impurity</v>
      </c>
      <c r="C1973" s="6" t="str">
        <f>HYPERLINK("https://www.kmpharma.in/product/23767","KMO001050")</f>
        <v>KMO001050</v>
      </c>
      <c r="D1973" s="6" t="s">
        <v>292</v>
      </c>
      <c r="E1973" s="7" t="s">
        <v>321</v>
      </c>
    </row>
    <row r="1974" spans="1:5" x14ac:dyDescent="0.25">
      <c r="A1974" s="3">
        <v>1973</v>
      </c>
      <c r="B1974" s="3" t="str">
        <f>HYPERLINK("https://www.kmpharma.in/product/23864","Opipramol Nitroso Impurity 1")</f>
        <v>Opipramol Nitroso Impurity 1</v>
      </c>
      <c r="C1974" s="3" t="str">
        <f>HYPERLINK("https://www.kmpharma.in/product/23864","KMO031002")</f>
        <v>KMO031002</v>
      </c>
      <c r="D1974" s="3" t="s">
        <v>7</v>
      </c>
      <c r="E1974" s="5" t="s">
        <v>321</v>
      </c>
    </row>
    <row r="1975" spans="1:5" x14ac:dyDescent="0.25">
      <c r="A1975" s="6">
        <v>1974</v>
      </c>
      <c r="B1975" s="6" t="str">
        <f>HYPERLINK("https://www.kmpharma.in/product/23873","Orbifloxacin Nitroso Impurity 1")</f>
        <v>Orbifloxacin Nitroso Impurity 1</v>
      </c>
      <c r="C1975" s="6" t="str">
        <f>HYPERLINK("https://www.kmpharma.in/product/23873","KMO032009")</f>
        <v>KMO032009</v>
      </c>
      <c r="D1975" s="6" t="s">
        <v>7</v>
      </c>
      <c r="E1975" s="7" t="s">
        <v>321</v>
      </c>
    </row>
    <row r="1976" spans="1:5" x14ac:dyDescent="0.25">
      <c r="A1976" s="3">
        <v>1975</v>
      </c>
      <c r="B1976" s="3" t="str">
        <f>HYPERLINK("https://www.kmpharma.in/product/23878","Orciprenaline Nitroso Impurity 1")</f>
        <v>Orciprenaline Nitroso Impurity 1</v>
      </c>
      <c r="C1976" s="3" t="str">
        <f>HYPERLINK("https://www.kmpharma.in/product/23878","KMO033005")</f>
        <v>KMO033005</v>
      </c>
      <c r="D1976" s="3" t="s">
        <v>7</v>
      </c>
      <c r="E1976" s="5" t="s">
        <v>321</v>
      </c>
    </row>
    <row r="1977" spans="1:5" x14ac:dyDescent="0.25">
      <c r="A1977" s="6">
        <v>1976</v>
      </c>
      <c r="B1977" s="6" t="str">
        <f>HYPERLINK("https://www.kmpharma.in/product/23903","Oritavancin Nitroso Impurity 1")</f>
        <v>Oritavancin Nitroso Impurity 1</v>
      </c>
      <c r="C1977" s="6" t="str">
        <f>HYPERLINK("https://www.kmpharma.in/product/23903","KMO035022")</f>
        <v>KMO035022</v>
      </c>
      <c r="D1977" s="6" t="s">
        <v>7</v>
      </c>
      <c r="E1977" s="7" t="s">
        <v>321</v>
      </c>
    </row>
    <row r="1978" spans="1:5" x14ac:dyDescent="0.25">
      <c r="A1978" s="3">
        <v>1977</v>
      </c>
      <c r="B1978" s="3" t="str">
        <f>HYPERLINK("https://www.kmpharma.in/product/23904","Oritavancin Nitroso Impurity 2")</f>
        <v>Oritavancin Nitroso Impurity 2</v>
      </c>
      <c r="C1978" s="3" t="str">
        <f>HYPERLINK("https://www.kmpharma.in/product/23904","KMO035023")</f>
        <v>KMO035023</v>
      </c>
      <c r="D1978" s="3" t="s">
        <v>7</v>
      </c>
      <c r="E1978" s="5" t="s">
        <v>321</v>
      </c>
    </row>
    <row r="1979" spans="1:5" x14ac:dyDescent="0.25">
      <c r="A1979" s="6">
        <v>1978</v>
      </c>
      <c r="B1979" s="6" t="str">
        <f>HYPERLINK("https://www.kmpharma.in/product/23939","Orlistat Nitroso Impurity 1")</f>
        <v>Orlistat Nitroso Impurity 1</v>
      </c>
      <c r="C1979" s="6" t="str">
        <f>HYPERLINK("https://www.kmpharma.in/product/23939","KMO004026")</f>
        <v>KMO004026</v>
      </c>
      <c r="D1979" s="6" t="s">
        <v>7</v>
      </c>
      <c r="E1979" s="7" t="s">
        <v>321</v>
      </c>
    </row>
    <row r="1980" spans="1:5" x14ac:dyDescent="0.25">
      <c r="A1980" s="3">
        <v>1979</v>
      </c>
      <c r="B1980" s="3" t="str">
        <f>HYPERLINK("https://www.kmpharma.in/product/269","Oseltamivir Glucose Adduct Nitroso Impurity")</f>
        <v>Oseltamivir Glucose Adduct Nitroso Impurity</v>
      </c>
      <c r="C1980" s="3" t="str">
        <f>HYPERLINK("https://www.kmpharma.in/product/269","KMO002001")</f>
        <v>KMO002001</v>
      </c>
      <c r="D1980" s="3" t="s">
        <v>35</v>
      </c>
      <c r="E1980" s="5" t="s">
        <v>321</v>
      </c>
    </row>
    <row r="1981" spans="1:5" x14ac:dyDescent="0.25">
      <c r="A1981" s="6">
        <v>1980</v>
      </c>
      <c r="B1981" s="6" t="str">
        <f>HYPERLINK("https://www.kmpharma.in/product/24087","Oseltamivir Nitroso Impurity 1")</f>
        <v>Oseltamivir Nitroso Impurity 1</v>
      </c>
      <c r="C1981" s="6" t="str">
        <f>HYPERLINK("https://www.kmpharma.in/product/24087","KMO002084")</f>
        <v>KMO002084</v>
      </c>
      <c r="D1981" s="6" t="s">
        <v>7</v>
      </c>
      <c r="E1981" s="7" t="s">
        <v>321</v>
      </c>
    </row>
    <row r="1982" spans="1:5" x14ac:dyDescent="0.25">
      <c r="A1982" s="3">
        <v>1981</v>
      </c>
      <c r="B1982" s="3" t="str">
        <f>HYPERLINK("https://www.kmpharma.in/product/24088","Oseltamivir Nitroso Impurity 2")</f>
        <v>Oseltamivir Nitroso Impurity 2</v>
      </c>
      <c r="C1982" s="3" t="str">
        <f>HYPERLINK("https://www.kmpharma.in/product/24088","KMO002085")</f>
        <v>KMO002085</v>
      </c>
      <c r="D1982" s="3" t="s">
        <v>7</v>
      </c>
      <c r="E1982" s="5" t="s">
        <v>321</v>
      </c>
    </row>
    <row r="1983" spans="1:5" x14ac:dyDescent="0.25">
      <c r="A1983" s="6">
        <v>1982</v>
      </c>
      <c r="B1983" s="6" t="str">
        <f>HYPERLINK("https://www.kmpharma.in/product/24089","Oseltamivir Nitroso Impurity 3")</f>
        <v>Oseltamivir Nitroso Impurity 3</v>
      </c>
      <c r="C1983" s="6" t="str">
        <f>HYPERLINK("https://www.kmpharma.in/product/24089","KMO002086")</f>
        <v>KMO002086</v>
      </c>
      <c r="D1983" s="6" t="s">
        <v>7</v>
      </c>
      <c r="E1983" s="7" t="s">
        <v>323</v>
      </c>
    </row>
    <row r="1984" spans="1:5" x14ac:dyDescent="0.25">
      <c r="A1984" s="3">
        <v>1983</v>
      </c>
      <c r="B1984" s="3" t="str">
        <f>HYPERLINK("https://www.kmpharma.in/product/37340","Osimertinib N-Nitroso N Desmethyl Impurity")</f>
        <v>Osimertinib N-Nitroso N Desmethyl Impurity</v>
      </c>
      <c r="C1984" s="3" t="str">
        <f>HYPERLINK("https://www.kmpharma.in/product/37340","KMO042041")</f>
        <v>KMO042041</v>
      </c>
      <c r="D1984" s="3" t="s">
        <v>7</v>
      </c>
      <c r="E1984" s="5" t="s">
        <v>321</v>
      </c>
    </row>
    <row r="1985" spans="1:5" x14ac:dyDescent="0.25">
      <c r="A1985" s="6">
        <v>1984</v>
      </c>
      <c r="B1985" s="6" t="str">
        <f>HYPERLINK("https://www.kmpharma.in/product/37339","Osimertinib Nitroso Impurity 3")</f>
        <v>Osimertinib Nitroso Impurity 3</v>
      </c>
      <c r="C1985" s="6" t="str">
        <f>HYPERLINK("https://www.kmpharma.in/product/37339","KMO042045")</f>
        <v>KMO042045</v>
      </c>
      <c r="D1985" s="6" t="s">
        <v>7</v>
      </c>
      <c r="E1985" s="7" t="s">
        <v>321</v>
      </c>
    </row>
    <row r="1986" spans="1:5" x14ac:dyDescent="0.25">
      <c r="A1986" s="3">
        <v>1985</v>
      </c>
      <c r="B1986" s="3" t="str">
        <f>HYPERLINK("https://www.kmpharma.in/product/24200","Oxcarbazepine Nitroso Impurity 1")</f>
        <v>Oxcarbazepine Nitroso Impurity 1</v>
      </c>
      <c r="C1986" s="3" t="str">
        <f>HYPERLINK("https://www.kmpharma.in/product/24200","KMO003043")</f>
        <v>KMO003043</v>
      </c>
      <c r="D1986" s="3" t="s">
        <v>7</v>
      </c>
      <c r="E1986" s="5" t="s">
        <v>323</v>
      </c>
    </row>
    <row r="1987" spans="1:5" x14ac:dyDescent="0.25">
      <c r="A1987" s="6">
        <v>1986</v>
      </c>
      <c r="B1987" s="6" t="str">
        <f>HYPERLINK("https://www.kmpharma.in/product/24201","Oxcarbazepine Nitroso Impurity 2")</f>
        <v>Oxcarbazepine Nitroso Impurity 2</v>
      </c>
      <c r="C1987" s="6" t="str">
        <f>HYPERLINK("https://www.kmpharma.in/product/24201","KMO003044")</f>
        <v>KMO003044</v>
      </c>
      <c r="D1987" s="6" t="s">
        <v>7</v>
      </c>
      <c r="E1987" s="7" t="s">
        <v>321</v>
      </c>
    </row>
    <row r="1988" spans="1:5" x14ac:dyDescent="0.25">
      <c r="A1988" s="3">
        <v>1987</v>
      </c>
      <c r="B1988" s="3" t="str">
        <f>HYPERLINK("https://www.kmpharma.in/product/37353","Oxycodone Nitroso Impurity 1")</f>
        <v>Oxycodone Nitroso Impurity 1</v>
      </c>
      <c r="C1988" s="3" t="str">
        <f>HYPERLINK("https://www.kmpharma.in/product/37353","KMO065011")</f>
        <v>KMO065011</v>
      </c>
      <c r="D1988" s="3" t="s">
        <v>7</v>
      </c>
      <c r="E1988" s="5" t="s">
        <v>321</v>
      </c>
    </row>
    <row r="1989" spans="1:5" x14ac:dyDescent="0.25">
      <c r="A1989" s="6">
        <v>1988</v>
      </c>
      <c r="B1989" s="6" t="str">
        <f>HYPERLINK("https://www.kmpharma.in/product/24339","Ozenoxacin Nitroso Impurity 1")</f>
        <v>Ozenoxacin Nitroso Impurity 1</v>
      </c>
      <c r="C1989" s="6" t="str">
        <f>HYPERLINK("https://www.kmpharma.in/product/24339","KMO075005")</f>
        <v>KMO075005</v>
      </c>
      <c r="D1989" s="6" t="s">
        <v>7</v>
      </c>
      <c r="E1989" s="7" t="s">
        <v>321</v>
      </c>
    </row>
    <row r="1990" spans="1:5" x14ac:dyDescent="0.25">
      <c r="A1990" s="3">
        <v>1989</v>
      </c>
      <c r="B1990" s="3" t="str">
        <f>HYPERLINK("https://www.kmpharma.in/product/24642","Palbociclib N-BOC 6-Bromo Analog Nitroso Impurity")</f>
        <v>Palbociclib N-BOC 6-Bromo Analog Nitroso Impurity</v>
      </c>
      <c r="C1990" s="3" t="str">
        <f>HYPERLINK("https://www.kmpharma.in/product/24642","KMP001111")</f>
        <v>KMP001111</v>
      </c>
      <c r="D1990" s="3" t="s">
        <v>7</v>
      </c>
      <c r="E1990" s="5" t="s">
        <v>321</v>
      </c>
    </row>
    <row r="1991" spans="1:5" x14ac:dyDescent="0.25">
      <c r="A1991" s="6">
        <v>1990</v>
      </c>
      <c r="B1991" s="6" t="str">
        <f>HYPERLINK("https://www.kmpharma.in/product/24643","Palbociclib Nitroso Impurity 1")</f>
        <v>Palbociclib Nitroso Impurity 1</v>
      </c>
      <c r="C1991" s="6" t="str">
        <f>HYPERLINK("https://www.kmpharma.in/product/24643","KMP001115")</f>
        <v>KMP001115</v>
      </c>
      <c r="D1991" s="6" t="s">
        <v>7</v>
      </c>
      <c r="E1991" s="7" t="s">
        <v>321</v>
      </c>
    </row>
    <row r="1992" spans="1:5" x14ac:dyDescent="0.25">
      <c r="A1992" s="3">
        <v>1991</v>
      </c>
      <c r="B1992" s="3" t="str">
        <f>HYPERLINK("https://www.kmpharma.in/product/24644","Palbociclib Nitroso Impurity 2")</f>
        <v>Palbociclib Nitroso Impurity 2</v>
      </c>
      <c r="C1992" s="3" t="str">
        <f>HYPERLINK("https://www.kmpharma.in/product/24644","KMP001116")</f>
        <v>KMP001116</v>
      </c>
      <c r="D1992" s="3" t="s">
        <v>7</v>
      </c>
      <c r="E1992" s="5" t="s">
        <v>321</v>
      </c>
    </row>
    <row r="1993" spans="1:5" x14ac:dyDescent="0.25">
      <c r="A1993" s="6">
        <v>1992</v>
      </c>
      <c r="B1993" s="6" t="str">
        <f>HYPERLINK("https://www.kmpharma.in/product/24639","Palbociclib Nitroso Impurity 3")</f>
        <v>Palbociclib Nitroso Impurity 3</v>
      </c>
      <c r="C1993" s="6" t="str">
        <f>HYPERLINK("https://www.kmpharma.in/product/24639","KMP001117")</f>
        <v>KMP001117</v>
      </c>
      <c r="D1993" s="6" t="s">
        <v>293</v>
      </c>
      <c r="E1993" s="7" t="s">
        <v>321</v>
      </c>
    </row>
    <row r="1994" spans="1:5" x14ac:dyDescent="0.25">
      <c r="A1994" s="3">
        <v>1993</v>
      </c>
      <c r="B1994" s="3" t="str">
        <f>HYPERLINK("https://www.kmpharma.in/product/24640","Palbociclib Nitroso Impurity 4")</f>
        <v>Palbociclib Nitroso Impurity 4</v>
      </c>
      <c r="C1994" s="3" t="str">
        <f>HYPERLINK("https://www.kmpharma.in/product/24640","KMP001118")</f>
        <v>KMP001118</v>
      </c>
      <c r="D1994" s="3" t="s">
        <v>294</v>
      </c>
      <c r="E1994" s="5" t="s">
        <v>321</v>
      </c>
    </row>
    <row r="1995" spans="1:5" x14ac:dyDescent="0.25">
      <c r="A1995" s="6">
        <v>1994</v>
      </c>
      <c r="B1995" s="6" t="str">
        <f>HYPERLINK("https://www.kmpharma.in/product/24645","Palbociclib Nitroso Impurity 5")</f>
        <v>Palbociclib Nitroso Impurity 5</v>
      </c>
      <c r="C1995" s="6" t="str">
        <f>HYPERLINK("https://www.kmpharma.in/product/24645","KMP001119")</f>
        <v>KMP001119</v>
      </c>
      <c r="D1995" s="6" t="s">
        <v>7</v>
      </c>
      <c r="E1995" s="7" t="s">
        <v>321</v>
      </c>
    </row>
    <row r="1996" spans="1:5" x14ac:dyDescent="0.25">
      <c r="A1996" s="3">
        <v>1995</v>
      </c>
      <c r="B1996" s="3" t="str">
        <f>HYPERLINK("https://www.kmpharma.in/product/24646","Palbociclib Nitroso Impurity 7")</f>
        <v>Palbociclib Nitroso Impurity 7</v>
      </c>
      <c r="C1996" s="3" t="str">
        <f>HYPERLINK("https://www.kmpharma.in/product/24646","KMP001120")</f>
        <v>KMP001120</v>
      </c>
      <c r="D1996" s="3" t="s">
        <v>7</v>
      </c>
      <c r="E1996" s="5" t="s">
        <v>321</v>
      </c>
    </row>
    <row r="1997" spans="1:5" x14ac:dyDescent="0.25">
      <c r="A1997" s="6">
        <v>1996</v>
      </c>
      <c r="B1997" s="6" t="str">
        <f>HYPERLINK("https://www.kmpharma.in/product/24641","Palbociclib Nitroso Impurity 8")</f>
        <v>Palbociclib Nitroso Impurity 8</v>
      </c>
      <c r="C1997" s="6" t="str">
        <f>HYPERLINK("https://www.kmpharma.in/product/24641","KMP001121")</f>
        <v>KMP001121</v>
      </c>
      <c r="D1997" s="6" t="s">
        <v>7</v>
      </c>
      <c r="E1997" s="7" t="s">
        <v>321</v>
      </c>
    </row>
    <row r="1998" spans="1:5" x14ac:dyDescent="0.25">
      <c r="A1998" s="3">
        <v>1997</v>
      </c>
      <c r="B1998" s="3" t="str">
        <f>HYPERLINK("https://www.kmpharma.in/product/24697","Paliperidone Nitroso Impurity 1")</f>
        <v>Paliperidone Nitroso Impurity 1</v>
      </c>
      <c r="C1998" s="3" t="str">
        <f>HYPERLINK("https://www.kmpharma.in/product/24697","KMP020041")</f>
        <v>KMP020041</v>
      </c>
      <c r="D1998" s="3" t="s">
        <v>7</v>
      </c>
      <c r="E1998" s="5" t="s">
        <v>321</v>
      </c>
    </row>
    <row r="1999" spans="1:5" x14ac:dyDescent="0.25">
      <c r="A1999" s="6">
        <v>1998</v>
      </c>
      <c r="B1999" s="6" t="str">
        <f>HYPERLINK("https://www.kmpharma.in/product/24698","Paliperidone Nitroso Impurity 2")</f>
        <v>Paliperidone Nitroso Impurity 2</v>
      </c>
      <c r="C1999" s="6" t="str">
        <f>HYPERLINK("https://www.kmpharma.in/product/24698","KMP020042")</f>
        <v>KMP020042</v>
      </c>
      <c r="D1999" s="6" t="s">
        <v>7</v>
      </c>
      <c r="E1999" s="7" t="s">
        <v>321</v>
      </c>
    </row>
    <row r="2000" spans="1:5" x14ac:dyDescent="0.25">
      <c r="A2000" s="3">
        <v>1999</v>
      </c>
      <c r="B2000" s="3" t="str">
        <f>HYPERLINK("https://www.kmpharma.in/product/24848","Pantoprazole Nitroso Impurity 1")</f>
        <v>Pantoprazole Nitroso Impurity 1</v>
      </c>
      <c r="C2000" s="3" t="str">
        <f>HYPERLINK("https://www.kmpharma.in/product/24848","KMP012074")</f>
        <v>KMP012074</v>
      </c>
      <c r="D2000" s="3" t="s">
        <v>7</v>
      </c>
      <c r="E2000" s="3" t="s">
        <v>16</v>
      </c>
    </row>
    <row r="2001" spans="1:5" x14ac:dyDescent="0.25">
      <c r="A2001" s="6">
        <v>2000</v>
      </c>
      <c r="B2001" s="6" t="str">
        <f>HYPERLINK("https://www.kmpharma.in/product/25092","Pemafibrate Nitroso Impurity 1")</f>
        <v>Pemafibrate Nitroso Impurity 1</v>
      </c>
      <c r="C2001" s="6" t="str">
        <f>HYPERLINK("https://www.kmpharma.in/product/25092","KMP054004")</f>
        <v>KMP054004</v>
      </c>
      <c r="D2001" s="6" t="s">
        <v>7</v>
      </c>
      <c r="E2001" s="7" t="s">
        <v>321</v>
      </c>
    </row>
    <row r="2002" spans="1:5" x14ac:dyDescent="0.25">
      <c r="A2002" s="3">
        <v>2001</v>
      </c>
      <c r="B2002" s="3" t="str">
        <f>HYPERLINK("https://www.kmpharma.in/product/25156","Pemetrexed Nitroso Impurity 1")</f>
        <v>Pemetrexed Nitroso Impurity 1</v>
      </c>
      <c r="C2002" s="3" t="str">
        <f>HYPERLINK("https://www.kmpharma.in/product/25156","KMP056059")</f>
        <v>KMP056059</v>
      </c>
      <c r="D2002" s="3" t="s">
        <v>7</v>
      </c>
      <c r="E2002" s="5" t="s">
        <v>321</v>
      </c>
    </row>
    <row r="2003" spans="1:5" x14ac:dyDescent="0.25">
      <c r="A2003" s="6">
        <v>2002</v>
      </c>
      <c r="B2003" s="6" t="str">
        <f>HYPERLINK("https://www.kmpharma.in/product/25157","Pemetrexed Nitroso Impurity 2")</f>
        <v>Pemetrexed Nitroso Impurity 2</v>
      </c>
      <c r="C2003" s="6" t="str">
        <f>HYPERLINK("https://www.kmpharma.in/product/25157","KMP056060")</f>
        <v>KMP056060</v>
      </c>
      <c r="D2003" s="6" t="s">
        <v>7</v>
      </c>
      <c r="E2003" s="7" t="s">
        <v>321</v>
      </c>
    </row>
    <row r="2004" spans="1:5" x14ac:dyDescent="0.25">
      <c r="A2004" s="3">
        <v>2003</v>
      </c>
      <c r="B2004" s="3" t="str">
        <f>HYPERLINK("https://www.kmpharma.in/product/25158","Pemetrexed Nitroso Impurity 3")</f>
        <v>Pemetrexed Nitroso Impurity 3</v>
      </c>
      <c r="C2004" s="3" t="str">
        <f>HYPERLINK("https://www.kmpharma.in/product/25158","KMP056061")</f>
        <v>KMP056061</v>
      </c>
      <c r="D2004" s="3" t="s">
        <v>7</v>
      </c>
      <c r="E2004" s="5" t="s">
        <v>321</v>
      </c>
    </row>
    <row r="2005" spans="1:5" x14ac:dyDescent="0.25">
      <c r="A2005" s="6">
        <v>2004</v>
      </c>
      <c r="B2005" s="6" t="str">
        <f>HYPERLINK("https://www.kmpharma.in/product/25197","Penciclovir Nitroso Impurity 1")</f>
        <v>Penciclovir Nitroso Impurity 1</v>
      </c>
      <c r="C2005" s="6" t="str">
        <f>HYPERLINK("https://www.kmpharma.in/product/25197","KMP059031")</f>
        <v>KMP059031</v>
      </c>
      <c r="D2005" s="6" t="s">
        <v>7</v>
      </c>
      <c r="E2005" s="7" t="s">
        <v>321</v>
      </c>
    </row>
    <row r="2006" spans="1:5" x14ac:dyDescent="0.25">
      <c r="A2006" s="3">
        <v>2005</v>
      </c>
      <c r="B2006" s="3" t="str">
        <f>HYPERLINK("https://www.kmpharma.in/product/25196","Penciclovir Nitroso Impurity 2")</f>
        <v>Penciclovir Nitroso Impurity 2</v>
      </c>
      <c r="C2006" s="3" t="str">
        <f>HYPERLINK("https://www.kmpharma.in/product/25196","KMP059032")</f>
        <v>KMP059032</v>
      </c>
      <c r="D2006" s="3" t="s">
        <v>7</v>
      </c>
      <c r="E2006" s="5" t="s">
        <v>321</v>
      </c>
    </row>
    <row r="2007" spans="1:5" x14ac:dyDescent="0.25">
      <c r="A2007" s="6">
        <v>2006</v>
      </c>
      <c r="B2007" s="6" t="str">
        <f>HYPERLINK("https://www.kmpharma.in/product/37387","Penicillamine Nitroso Impurity 1")</f>
        <v>Penicillamine Nitroso Impurity 1</v>
      </c>
      <c r="C2007" s="6" t="str">
        <f>HYPERLINK("https://www.kmpharma.in/product/37387","KMP025016")</f>
        <v>KMP025016</v>
      </c>
      <c r="D2007" s="6" t="s">
        <v>7</v>
      </c>
      <c r="E2007" s="7" t="s">
        <v>321</v>
      </c>
    </row>
    <row r="2008" spans="1:5" x14ac:dyDescent="0.25">
      <c r="A2008" s="3">
        <v>2007</v>
      </c>
      <c r="B2008" s="3" t="str">
        <f>HYPERLINK("https://www.kmpharma.in/product/37388","Penicillamine Nitroso Impurity 2")</f>
        <v>Penicillamine Nitroso Impurity 2</v>
      </c>
      <c r="C2008" s="3" t="str">
        <f>HYPERLINK("https://www.kmpharma.in/product/37388","KMP025017")</f>
        <v>KMP025017</v>
      </c>
      <c r="D2008" s="3" t="s">
        <v>7</v>
      </c>
      <c r="E2008" s="5" t="s">
        <v>321</v>
      </c>
    </row>
    <row r="2009" spans="1:5" x14ac:dyDescent="0.25">
      <c r="A2009" s="6">
        <v>2008</v>
      </c>
      <c r="B2009" s="6" t="str">
        <f>HYPERLINK("https://www.kmpharma.in/product/37389","Penicillamine Nitroso Impurity 3")</f>
        <v>Penicillamine Nitroso Impurity 3</v>
      </c>
      <c r="C2009" s="6" t="str">
        <f>HYPERLINK("https://www.kmpharma.in/product/37389","KMP025018")</f>
        <v>KMP025018</v>
      </c>
      <c r="D2009" s="6" t="s">
        <v>7</v>
      </c>
      <c r="E2009" s="7" t="s">
        <v>324</v>
      </c>
    </row>
    <row r="2010" spans="1:5" x14ac:dyDescent="0.25">
      <c r="A2010" s="3">
        <v>2009</v>
      </c>
      <c r="B2010" s="3" t="str">
        <f>HYPERLINK("https://www.kmpharma.in/product/25283","Pentazocine Nitroso Impurity 1")</f>
        <v>Pentazocine Nitroso Impurity 1</v>
      </c>
      <c r="C2010" s="3" t="str">
        <f>HYPERLINK("https://www.kmpharma.in/product/25283","KMP064001")</f>
        <v>KMP064001</v>
      </c>
      <c r="D2010" s="3" t="s">
        <v>7</v>
      </c>
      <c r="E2010" s="5" t="s">
        <v>321</v>
      </c>
    </row>
    <row r="2011" spans="1:5" x14ac:dyDescent="0.25">
      <c r="A2011" s="6">
        <v>2010</v>
      </c>
      <c r="B2011" s="6" t="str">
        <f>HYPERLINK("https://www.kmpharma.in/product/25311","Pentoxifylline Nitroso EP Impurity B")</f>
        <v>Pentoxifylline Nitroso EP Impurity B</v>
      </c>
      <c r="C2011" s="6" t="str">
        <f>HYPERLINK("https://www.kmpharma.in/product/25311","KMP067020")</f>
        <v>KMP067020</v>
      </c>
      <c r="D2011" s="6" t="s">
        <v>7</v>
      </c>
      <c r="E2011" s="7" t="s">
        <v>321</v>
      </c>
    </row>
    <row r="2012" spans="1:5" x14ac:dyDescent="0.25">
      <c r="A2012" s="3">
        <v>2011</v>
      </c>
      <c r="B2012" s="3" t="str">
        <f>HYPERLINK("https://www.kmpharma.in/product/25557","Phentolamine Nitroso Impurity 1")</f>
        <v>Phentolamine Nitroso Impurity 1</v>
      </c>
      <c r="C2012" s="3" t="str">
        <f>HYPERLINK("https://www.kmpharma.in/product/25557","KMP096008")</f>
        <v>KMP096008</v>
      </c>
      <c r="D2012" s="3" t="s">
        <v>7</v>
      </c>
      <c r="E2012" s="3" t="s">
        <v>16</v>
      </c>
    </row>
    <row r="2013" spans="1:5" x14ac:dyDescent="0.25">
      <c r="A2013" s="6">
        <v>2012</v>
      </c>
      <c r="B2013" s="6" t="str">
        <f>HYPERLINK("https://www.kmpharma.in/product/25679","Phenylephrine Nitroso Impurity 1")</f>
        <v>Phenylephrine Nitroso Impurity 1</v>
      </c>
      <c r="C2013" s="6" t="str">
        <f>HYPERLINK("https://www.kmpharma.in/product/25679","KMP008085")</f>
        <v>KMP008085</v>
      </c>
      <c r="D2013" s="6" t="s">
        <v>7</v>
      </c>
      <c r="E2013" s="7" t="s">
        <v>321</v>
      </c>
    </row>
    <row r="2014" spans="1:5" x14ac:dyDescent="0.25">
      <c r="A2014" s="3">
        <v>2013</v>
      </c>
      <c r="B2014" s="3" t="str">
        <f>HYPERLINK("https://www.kmpharma.in/product/25811","Pimobendan Nitroso Impurity 1")</f>
        <v>Pimobendan Nitroso Impurity 1</v>
      </c>
      <c r="C2014" s="3" t="str">
        <f>HYPERLINK("https://www.kmpharma.in/product/25811","KMP116007")</f>
        <v>KMP116007</v>
      </c>
      <c r="D2014" s="3" t="s">
        <v>7</v>
      </c>
      <c r="E2014" s="5" t="s">
        <v>323</v>
      </c>
    </row>
    <row r="2015" spans="1:5" x14ac:dyDescent="0.25">
      <c r="A2015" s="6">
        <v>2014</v>
      </c>
      <c r="B2015" s="6" t="str">
        <f>HYPERLINK("https://www.kmpharma.in/product/25829","Pindolol Nitroso Impurity")</f>
        <v>Pindolol Nitroso Impurity</v>
      </c>
      <c r="C2015" s="6" t="str">
        <f>HYPERLINK("https://www.kmpharma.in/product/25829","KMP120009")</f>
        <v>KMP120009</v>
      </c>
      <c r="D2015" s="6" t="s">
        <v>7</v>
      </c>
      <c r="E2015" s="7" t="s">
        <v>324</v>
      </c>
    </row>
    <row r="2016" spans="1:5" x14ac:dyDescent="0.25">
      <c r="A2016" s="3">
        <v>2015</v>
      </c>
      <c r="B2016" s="3" t="str">
        <f>HYPERLINK("https://www.kmpharma.in/product/26009","Piribedil Nitroso Impurity 1")</f>
        <v>Piribedil Nitroso Impurity 1</v>
      </c>
      <c r="C2016" s="3" t="str">
        <f>HYPERLINK("https://www.kmpharma.in/product/26009","KMP024015")</f>
        <v>KMP024015</v>
      </c>
      <c r="D2016" s="3" t="s">
        <v>7</v>
      </c>
      <c r="E2016" s="5" t="s">
        <v>324</v>
      </c>
    </row>
    <row r="2017" spans="1:5" x14ac:dyDescent="0.25">
      <c r="A2017" s="6">
        <v>2016</v>
      </c>
      <c r="B2017" s="6" t="str">
        <f>HYPERLINK("https://www.kmpharma.in/product/26167","Plazomicin Nitroso Impurity 1")</f>
        <v>Plazomicin Nitroso Impurity 1</v>
      </c>
      <c r="C2017" s="6" t="str">
        <f>HYPERLINK("https://www.kmpharma.in/product/26167","KMP143012")</f>
        <v>KMP143012</v>
      </c>
      <c r="D2017" s="6" t="s">
        <v>7</v>
      </c>
      <c r="E2017" s="7" t="s">
        <v>321</v>
      </c>
    </row>
    <row r="2018" spans="1:5" x14ac:dyDescent="0.25">
      <c r="A2018" s="3">
        <v>2017</v>
      </c>
      <c r="B2018" s="3" t="str">
        <f>HYPERLINK("https://www.kmpharma.in/product/26168","Plazomicin Nitroso Impurity 2")</f>
        <v>Plazomicin Nitroso Impurity 2</v>
      </c>
      <c r="C2018" s="3" t="str">
        <f>HYPERLINK("https://www.kmpharma.in/product/26168","KMP143013")</f>
        <v>KMP143013</v>
      </c>
      <c r="D2018" s="3" t="s">
        <v>7</v>
      </c>
      <c r="E2018" s="5" t="s">
        <v>322</v>
      </c>
    </row>
    <row r="2019" spans="1:5" x14ac:dyDescent="0.25">
      <c r="A2019" s="6">
        <v>2018</v>
      </c>
      <c r="B2019" s="6" t="str">
        <f>HYPERLINK("https://www.kmpharma.in/product/26169","Plazomicin Nitroso Impurity 3")</f>
        <v>Plazomicin Nitroso Impurity 3</v>
      </c>
      <c r="C2019" s="6" t="str">
        <f>HYPERLINK("https://www.kmpharma.in/product/26169","KMP143014")</f>
        <v>KMP143014</v>
      </c>
      <c r="D2019" s="6" t="s">
        <v>7</v>
      </c>
      <c r="E2019" s="7" t="s">
        <v>322</v>
      </c>
    </row>
    <row r="2020" spans="1:5" x14ac:dyDescent="0.25">
      <c r="A2020" s="3">
        <v>2019</v>
      </c>
      <c r="B2020" s="3" t="str">
        <f>HYPERLINK("https://www.kmpharma.in/product/26206","Plerixafor Nitroso Impurity 1")</f>
        <v>Plerixafor Nitroso Impurity 1</v>
      </c>
      <c r="C2020" s="3" t="str">
        <f>HYPERLINK("https://www.kmpharma.in/product/26206","KMP145032")</f>
        <v>KMP145032</v>
      </c>
      <c r="D2020" s="3" t="s">
        <v>7</v>
      </c>
      <c r="E2020" s="5" t="s">
        <v>321</v>
      </c>
    </row>
    <row r="2021" spans="1:5" x14ac:dyDescent="0.25">
      <c r="A2021" s="6">
        <v>2020</v>
      </c>
      <c r="B2021" s="6" t="str">
        <f>HYPERLINK("https://www.kmpharma.in/product/26209","Plerixafor Nitroso Impurity 2")</f>
        <v>Plerixafor Nitroso Impurity 2</v>
      </c>
      <c r="C2021" s="6" t="str">
        <f>HYPERLINK("https://www.kmpharma.in/product/26209","KMP145033")</f>
        <v>KMP145033</v>
      </c>
      <c r="D2021" s="6" t="s">
        <v>7</v>
      </c>
      <c r="E2021" s="7" t="s">
        <v>322</v>
      </c>
    </row>
    <row r="2022" spans="1:5" x14ac:dyDescent="0.25">
      <c r="A2022" s="3">
        <v>2021</v>
      </c>
      <c r="B2022" s="3" t="str">
        <f>HYPERLINK("https://www.kmpharma.in/product/26210","Plerixafor Nitroso Impurity 3")</f>
        <v>Plerixafor Nitroso Impurity 3</v>
      </c>
      <c r="C2022" s="3" t="str">
        <f>HYPERLINK("https://www.kmpharma.in/product/26210","KMP145034")</f>
        <v>KMP145034</v>
      </c>
      <c r="D2022" s="3" t="s">
        <v>7</v>
      </c>
      <c r="E2022" s="5" t="s">
        <v>322</v>
      </c>
    </row>
    <row r="2023" spans="1:5" x14ac:dyDescent="0.25">
      <c r="A2023" s="6">
        <v>2022</v>
      </c>
      <c r="B2023" s="6" t="str">
        <f>HYPERLINK("https://www.kmpharma.in/product/26211","Plerixafor Nitroso Impurity 4")</f>
        <v>Plerixafor Nitroso Impurity 4</v>
      </c>
      <c r="C2023" s="6" t="str">
        <f>HYPERLINK("https://www.kmpharma.in/product/26211","KMP145035")</f>
        <v>KMP145035</v>
      </c>
      <c r="D2023" s="6" t="s">
        <v>7</v>
      </c>
      <c r="E2023" s="7" t="s">
        <v>322</v>
      </c>
    </row>
    <row r="2024" spans="1:5" x14ac:dyDescent="0.25">
      <c r="A2024" s="3">
        <v>2023</v>
      </c>
      <c r="B2024" s="3" t="str">
        <f>HYPERLINK("https://www.kmpharma.in/product/26207","Plerixafor Nitroso Impurity 7")</f>
        <v>Plerixafor Nitroso Impurity 7</v>
      </c>
      <c r="C2024" s="3" t="str">
        <f>HYPERLINK("https://www.kmpharma.in/product/26207","KMP145036")</f>
        <v>KMP145036</v>
      </c>
      <c r="D2024" s="3" t="s">
        <v>7</v>
      </c>
      <c r="E2024" s="5" t="s">
        <v>322</v>
      </c>
    </row>
    <row r="2025" spans="1:5" x14ac:dyDescent="0.25">
      <c r="A2025" s="6">
        <v>2024</v>
      </c>
      <c r="B2025" s="6" t="str">
        <f>HYPERLINK("https://www.kmpharma.in/product/26208","Plerixafor Nitroso Impurity 8")</f>
        <v>Plerixafor Nitroso Impurity 8</v>
      </c>
      <c r="C2025" s="6" t="str">
        <f>HYPERLINK("https://www.kmpharma.in/product/26208","KMP145037")</f>
        <v>KMP145037</v>
      </c>
      <c r="D2025" s="6" t="s">
        <v>7</v>
      </c>
      <c r="E2025" s="7" t="s">
        <v>321</v>
      </c>
    </row>
    <row r="2026" spans="1:5" x14ac:dyDescent="0.25">
      <c r="A2026" s="3">
        <v>2025</v>
      </c>
      <c r="B2026" s="3" t="str">
        <f>HYPERLINK("https://www.kmpharma.in/product/26231","Polymyxin B Nitroso Impurity 1")</f>
        <v>Polymyxin B Nitroso Impurity 1</v>
      </c>
      <c r="C2026" s="3" t="str">
        <f>HYPERLINK("https://www.kmpharma.in/product/26231","KMP148003")</f>
        <v>KMP148003</v>
      </c>
      <c r="D2026" s="3" t="s">
        <v>7</v>
      </c>
      <c r="E2026" s="5" t="s">
        <v>322</v>
      </c>
    </row>
    <row r="2027" spans="1:5" x14ac:dyDescent="0.25">
      <c r="A2027" s="6">
        <v>2026</v>
      </c>
      <c r="B2027" s="6" t="str">
        <f>HYPERLINK("https://www.kmpharma.in/product/26232","Polymyxin B Nitroso Impurity 10")</f>
        <v>Polymyxin B Nitroso Impurity 10</v>
      </c>
      <c r="C2027" s="6" t="str">
        <f>HYPERLINK("https://www.kmpharma.in/product/26232","KMP148004")</f>
        <v>KMP148004</v>
      </c>
      <c r="D2027" s="6" t="s">
        <v>7</v>
      </c>
      <c r="E2027" s="7" t="s">
        <v>322</v>
      </c>
    </row>
    <row r="2028" spans="1:5" x14ac:dyDescent="0.25">
      <c r="A2028" s="3">
        <v>2027</v>
      </c>
      <c r="B2028" s="3" t="str">
        <f>HYPERLINK("https://www.kmpharma.in/product/26233","Polymyxin B Nitroso Impurity 11")</f>
        <v>Polymyxin B Nitroso Impurity 11</v>
      </c>
      <c r="C2028" s="3" t="str">
        <f>HYPERLINK("https://www.kmpharma.in/product/26233","KMP148005")</f>
        <v>KMP148005</v>
      </c>
      <c r="D2028" s="3" t="s">
        <v>7</v>
      </c>
      <c r="E2028" s="5" t="s">
        <v>322</v>
      </c>
    </row>
    <row r="2029" spans="1:5" x14ac:dyDescent="0.25">
      <c r="A2029" s="6">
        <v>2028</v>
      </c>
      <c r="B2029" s="6" t="str">
        <f>HYPERLINK("https://www.kmpharma.in/product/26234","Polymyxin B Nitroso Impurity 2")</f>
        <v>Polymyxin B Nitroso Impurity 2</v>
      </c>
      <c r="C2029" s="6" t="str">
        <f>HYPERLINK("https://www.kmpharma.in/product/26234","KMP148006")</f>
        <v>KMP148006</v>
      </c>
      <c r="D2029" s="6" t="s">
        <v>7</v>
      </c>
      <c r="E2029" s="7" t="s">
        <v>322</v>
      </c>
    </row>
    <row r="2030" spans="1:5" x14ac:dyDescent="0.25">
      <c r="A2030" s="3">
        <v>2029</v>
      </c>
      <c r="B2030" s="3" t="str">
        <f>HYPERLINK("https://www.kmpharma.in/product/26235","Polymyxin B Nitroso Impurity 3")</f>
        <v>Polymyxin B Nitroso Impurity 3</v>
      </c>
      <c r="C2030" s="3" t="str">
        <f>HYPERLINK("https://www.kmpharma.in/product/26235","KMP148007")</f>
        <v>KMP148007</v>
      </c>
      <c r="D2030" s="3" t="s">
        <v>7</v>
      </c>
      <c r="E2030" s="5" t="s">
        <v>322</v>
      </c>
    </row>
    <row r="2031" spans="1:5" x14ac:dyDescent="0.25">
      <c r="A2031" s="6">
        <v>2030</v>
      </c>
      <c r="B2031" s="6" t="str">
        <f>HYPERLINK("https://www.kmpharma.in/product/26236","Polymyxin B Nitroso Impurity 4")</f>
        <v>Polymyxin B Nitroso Impurity 4</v>
      </c>
      <c r="C2031" s="6" t="str">
        <f>HYPERLINK("https://www.kmpharma.in/product/26236","KMP148008")</f>
        <v>KMP148008</v>
      </c>
      <c r="D2031" s="6" t="s">
        <v>7</v>
      </c>
      <c r="E2031" s="7" t="s">
        <v>321</v>
      </c>
    </row>
    <row r="2032" spans="1:5" x14ac:dyDescent="0.25">
      <c r="A2032" s="3">
        <v>2031</v>
      </c>
      <c r="B2032" s="3" t="str">
        <f>HYPERLINK("https://www.kmpharma.in/product/26237","Polymyxin B Nitroso Impurity 5")</f>
        <v>Polymyxin B Nitroso Impurity 5</v>
      </c>
      <c r="C2032" s="3" t="str">
        <f>HYPERLINK("https://www.kmpharma.in/product/26237","KMP148009")</f>
        <v>KMP148009</v>
      </c>
      <c r="D2032" s="3" t="s">
        <v>7</v>
      </c>
      <c r="E2032" s="3" t="s">
        <v>16</v>
      </c>
    </row>
    <row r="2033" spans="1:5" x14ac:dyDescent="0.25">
      <c r="A2033" s="6">
        <v>2032</v>
      </c>
      <c r="B2033" s="6" t="str">
        <f>HYPERLINK("https://www.kmpharma.in/product/26238","Polymyxin B Nitroso Impurity 7")</f>
        <v>Polymyxin B Nitroso Impurity 7</v>
      </c>
      <c r="C2033" s="6" t="str">
        <f>HYPERLINK("https://www.kmpharma.in/product/26238","KMP148010")</f>
        <v>KMP148010</v>
      </c>
      <c r="D2033" s="6" t="s">
        <v>7</v>
      </c>
      <c r="E2033" s="6" t="s">
        <v>16</v>
      </c>
    </row>
    <row r="2034" spans="1:5" x14ac:dyDescent="0.25">
      <c r="A2034" s="3">
        <v>2033</v>
      </c>
      <c r="B2034" s="3" t="str">
        <f>HYPERLINK("https://www.kmpharma.in/product/26239","Polymyxin B Nitroso Impurity 8")</f>
        <v>Polymyxin B Nitroso Impurity 8</v>
      </c>
      <c r="C2034" s="3" t="str">
        <f>HYPERLINK("https://www.kmpharma.in/product/26239","KMP148011")</f>
        <v>KMP148011</v>
      </c>
      <c r="D2034" s="3" t="s">
        <v>7</v>
      </c>
      <c r="E2034" s="3" t="s">
        <v>16</v>
      </c>
    </row>
    <row r="2035" spans="1:5" x14ac:dyDescent="0.25">
      <c r="A2035" s="6">
        <v>2034</v>
      </c>
      <c r="B2035" s="6" t="str">
        <f>HYPERLINK("https://www.kmpharma.in/product/26240","Polymyxin B Nitroso Impurity 9")</f>
        <v>Polymyxin B Nitroso Impurity 9</v>
      </c>
      <c r="C2035" s="6" t="str">
        <f>HYPERLINK("https://www.kmpharma.in/product/26240","KMP148012")</f>
        <v>KMP148012</v>
      </c>
      <c r="D2035" s="6" t="s">
        <v>7</v>
      </c>
      <c r="E2035" s="6" t="s">
        <v>16</v>
      </c>
    </row>
    <row r="2036" spans="1:5" x14ac:dyDescent="0.25">
      <c r="A2036" s="3">
        <v>2035</v>
      </c>
      <c r="B2036" s="3" t="str">
        <f>HYPERLINK("https://www.kmpharma.in/product/26446","Posaconazole Nitroso Impurity 1")</f>
        <v>Posaconazole Nitroso Impurity 1</v>
      </c>
      <c r="C2036" s="3" t="str">
        <f>HYPERLINK("https://www.kmpharma.in/product/26446","KMP153149")</f>
        <v>KMP153149</v>
      </c>
      <c r="D2036" s="3" t="s">
        <v>7</v>
      </c>
      <c r="E2036" s="3" t="s">
        <v>16</v>
      </c>
    </row>
    <row r="2037" spans="1:5" x14ac:dyDescent="0.25">
      <c r="A2037" s="6">
        <v>2036</v>
      </c>
      <c r="B2037" s="6" t="str">
        <f>HYPERLINK("https://www.kmpharma.in/product/26447","Posaconazole Nitroso Impurity 2")</f>
        <v>Posaconazole Nitroso Impurity 2</v>
      </c>
      <c r="C2037" s="6" t="str">
        <f>HYPERLINK("https://www.kmpharma.in/product/26447","KMP153150")</f>
        <v>KMP153150</v>
      </c>
      <c r="D2037" s="6" t="s">
        <v>7</v>
      </c>
      <c r="E2037" s="6" t="s">
        <v>16</v>
      </c>
    </row>
    <row r="2038" spans="1:5" x14ac:dyDescent="0.25">
      <c r="A2038" s="3">
        <v>2037</v>
      </c>
      <c r="B2038" s="3" t="str">
        <f>HYPERLINK("https://www.kmpharma.in/product/26448","Posaconazole Nitroso Impurity 3")</f>
        <v>Posaconazole Nitroso Impurity 3</v>
      </c>
      <c r="C2038" s="3" t="str">
        <f>HYPERLINK("https://www.kmpharma.in/product/26448","KMP153151")</f>
        <v>KMP153151</v>
      </c>
      <c r="D2038" s="3" t="s">
        <v>7</v>
      </c>
      <c r="E2038" s="3" t="s">
        <v>16</v>
      </c>
    </row>
    <row r="2039" spans="1:5" x14ac:dyDescent="0.25">
      <c r="A2039" s="6">
        <v>2038</v>
      </c>
      <c r="B2039" s="6" t="str">
        <f>HYPERLINK("https://www.kmpharma.in/product/26449","Posaconazole Nitroso Impurity 4")</f>
        <v>Posaconazole Nitroso Impurity 4</v>
      </c>
      <c r="C2039" s="6" t="str">
        <f>HYPERLINK("https://www.kmpharma.in/product/26449","KMP153152")</f>
        <v>KMP153152</v>
      </c>
      <c r="D2039" s="6" t="s">
        <v>7</v>
      </c>
      <c r="E2039" s="7" t="s">
        <v>323</v>
      </c>
    </row>
    <row r="2040" spans="1:5" x14ac:dyDescent="0.25">
      <c r="A2040" s="3">
        <v>2039</v>
      </c>
      <c r="B2040" s="3" t="str">
        <f>HYPERLINK("https://www.kmpharma.in/product/26450","Posaconazole Nitroso Impurity 5")</f>
        <v>Posaconazole Nitroso Impurity 5</v>
      </c>
      <c r="C2040" s="3" t="str">
        <f>HYPERLINK("https://www.kmpharma.in/product/26450","KMP153153")</f>
        <v>KMP153153</v>
      </c>
      <c r="D2040" s="3" t="s">
        <v>7</v>
      </c>
      <c r="E2040" s="5" t="s">
        <v>323</v>
      </c>
    </row>
    <row r="2041" spans="1:5" x14ac:dyDescent="0.25">
      <c r="A2041" s="6">
        <v>2040</v>
      </c>
      <c r="B2041" s="6" t="str">
        <f>HYPERLINK("https://www.kmpharma.in/product/26535","Pramipexole Nitroso Impurity 2")</f>
        <v>Pramipexole Nitroso Impurity 2</v>
      </c>
      <c r="C2041" s="6" t="str">
        <f>HYPERLINK("https://www.kmpharma.in/product/26535","KMP026053")</f>
        <v>KMP026053</v>
      </c>
      <c r="D2041" s="6" t="s">
        <v>7</v>
      </c>
      <c r="E2041" s="6" t="s">
        <v>16</v>
      </c>
    </row>
    <row r="2042" spans="1:5" x14ac:dyDescent="0.25">
      <c r="A2042" s="3">
        <v>2041</v>
      </c>
      <c r="B2042" s="3" t="str">
        <f>HYPERLINK("https://www.kmpharma.in/product/26536","Pramipexole Nitroso Impurity 3")</f>
        <v>Pramipexole Nitroso Impurity 3</v>
      </c>
      <c r="C2042" s="3" t="str">
        <f>HYPERLINK("https://www.kmpharma.in/product/26536","KMP026054")</f>
        <v>KMP026054</v>
      </c>
      <c r="D2042" s="3" t="s">
        <v>7</v>
      </c>
      <c r="E2042" s="3" t="s">
        <v>16</v>
      </c>
    </row>
    <row r="2043" spans="1:5" x14ac:dyDescent="0.25">
      <c r="A2043" s="6">
        <v>2042</v>
      </c>
      <c r="B2043" s="6" t="str">
        <f>HYPERLINK("https://www.kmpharma.in/product/26537","Pramipexole Nitroso Impurity 5")</f>
        <v>Pramipexole Nitroso Impurity 5</v>
      </c>
      <c r="C2043" s="6" t="str">
        <f>HYPERLINK("https://www.kmpharma.in/product/26537","KMP026055")</f>
        <v>KMP026055</v>
      </c>
      <c r="D2043" s="6" t="s">
        <v>7</v>
      </c>
      <c r="E2043" s="7" t="s">
        <v>324</v>
      </c>
    </row>
    <row r="2044" spans="1:5" x14ac:dyDescent="0.25">
      <c r="A2044" s="3">
        <v>2043</v>
      </c>
      <c r="B2044" s="3" t="str">
        <f>HYPERLINK("https://www.kmpharma.in/product/26538","Pramipexole Nitroso Impurity 6")</f>
        <v>Pramipexole Nitroso Impurity 6</v>
      </c>
      <c r="C2044" s="3" t="str">
        <f>HYPERLINK("https://www.kmpharma.in/product/26538","KMP026056")</f>
        <v>KMP026056</v>
      </c>
      <c r="D2044" s="3" t="s">
        <v>7</v>
      </c>
      <c r="E2044" s="5" t="s">
        <v>323</v>
      </c>
    </row>
    <row r="2045" spans="1:5" x14ac:dyDescent="0.25">
      <c r="A2045" s="6">
        <v>2044</v>
      </c>
      <c r="B2045" s="6" t="str">
        <f>HYPERLINK("https://www.kmpharma.in/product/26545","Pranlukast Nitroso Impurity 1")</f>
        <v>Pranlukast Nitroso Impurity 1</v>
      </c>
      <c r="C2045" s="6" t="str">
        <f>HYPERLINK("https://www.kmpharma.in/product/26545","KMP159006")</f>
        <v>KMP159006</v>
      </c>
      <c r="D2045" s="6" t="s">
        <v>7</v>
      </c>
      <c r="E2045" s="6" t="s">
        <v>16</v>
      </c>
    </row>
    <row r="2046" spans="1:5" x14ac:dyDescent="0.25">
      <c r="A2046" s="3">
        <v>2045</v>
      </c>
      <c r="B2046" s="3" t="str">
        <f>HYPERLINK("https://www.kmpharma.in/product/26613","Prasugrel Nitroso Impurity 1")</f>
        <v>Prasugrel Nitroso Impurity 1</v>
      </c>
      <c r="C2046" s="3" t="str">
        <f>HYPERLINK("https://www.kmpharma.in/product/26613","KMP019066")</f>
        <v>KMP019066</v>
      </c>
      <c r="D2046" s="3" t="s">
        <v>7</v>
      </c>
      <c r="E2046" s="3" t="s">
        <v>16</v>
      </c>
    </row>
    <row r="2047" spans="1:5" x14ac:dyDescent="0.25">
      <c r="A2047" s="6">
        <v>2046</v>
      </c>
      <c r="B2047" s="6" t="str">
        <f>HYPERLINK("https://www.kmpharma.in/product/26661","Praziquantel Nitroso Impurity 1")</f>
        <v>Praziquantel Nitroso Impurity 1</v>
      </c>
      <c r="C2047" s="6" t="str">
        <f>HYPERLINK("https://www.kmpharma.in/product/26661","KMP162020")</f>
        <v>KMP162020</v>
      </c>
      <c r="D2047" s="6" t="s">
        <v>295</v>
      </c>
      <c r="E2047" s="6" t="s">
        <v>16</v>
      </c>
    </row>
    <row r="2048" spans="1:5" x14ac:dyDescent="0.25">
      <c r="A2048" s="3">
        <v>2047</v>
      </c>
      <c r="B2048" s="3" t="str">
        <f>HYPERLINK("https://www.kmpharma.in/product/26660","Praziquantel Nitroso Impurity 2")</f>
        <v>Praziquantel Nitroso Impurity 2</v>
      </c>
      <c r="C2048" s="3" t="str">
        <f>HYPERLINK("https://www.kmpharma.in/product/26660","KMP162021")</f>
        <v>KMP162021</v>
      </c>
      <c r="D2048" s="3" t="s">
        <v>7</v>
      </c>
      <c r="E2048" s="3" t="s">
        <v>16</v>
      </c>
    </row>
    <row r="2049" spans="1:5" x14ac:dyDescent="0.25">
      <c r="A2049" s="6">
        <v>2048</v>
      </c>
      <c r="B2049" s="6" t="str">
        <f>HYPERLINK("https://www.kmpharma.in/product/26950","Prilocaine Nitroso Impurity 1")</f>
        <v>Prilocaine Nitroso Impurity 1</v>
      </c>
      <c r="C2049" s="6" t="str">
        <f>HYPERLINK("https://www.kmpharma.in/product/26950","KMP171025")</f>
        <v>KMP171025</v>
      </c>
      <c r="D2049" s="6" t="s">
        <v>296</v>
      </c>
      <c r="E2049" s="6" t="s">
        <v>16</v>
      </c>
    </row>
    <row r="2050" spans="1:5" x14ac:dyDescent="0.25">
      <c r="A2050" s="3">
        <v>2049</v>
      </c>
      <c r="B2050" s="3" t="str">
        <f>HYPERLINK("https://www.kmpharma.in/product/26959","Primapterin Nitroso Impurity 1")</f>
        <v>Primapterin Nitroso Impurity 1</v>
      </c>
      <c r="C2050" s="3" t="str">
        <f>HYPERLINK("https://www.kmpharma.in/product/26959","KMP172003")</f>
        <v>KMP172003</v>
      </c>
      <c r="D2050" s="3" t="s">
        <v>7</v>
      </c>
      <c r="E2050" s="3" t="s">
        <v>16</v>
      </c>
    </row>
    <row r="2051" spans="1:5" x14ac:dyDescent="0.25">
      <c r="A2051" s="6">
        <v>2050</v>
      </c>
      <c r="B2051" s="6" t="str">
        <f>HYPERLINK("https://www.kmpharma.in/product/26985","Probenecid Nitroso Impurity 1")</f>
        <v>Probenecid Nitroso Impurity 1</v>
      </c>
      <c r="C2051" s="6" t="str">
        <f>HYPERLINK("https://www.kmpharma.in/product/26985","KMP175007")</f>
        <v>KMP175007</v>
      </c>
      <c r="D2051" s="6" t="s">
        <v>7</v>
      </c>
      <c r="E2051" s="6" t="s">
        <v>16</v>
      </c>
    </row>
    <row r="2052" spans="1:5" x14ac:dyDescent="0.25">
      <c r="A2052" s="3">
        <v>2051</v>
      </c>
      <c r="B2052" s="3" t="str">
        <f>HYPERLINK("https://www.kmpharma.in/product/27133","Proguanil Nitroso Impurity 1")</f>
        <v>Proguanil Nitroso Impurity 1</v>
      </c>
      <c r="C2052" s="3" t="str">
        <f>HYPERLINK("https://www.kmpharma.in/product/27133","KMP182009")</f>
        <v>KMP182009</v>
      </c>
      <c r="D2052" s="3" t="s">
        <v>7</v>
      </c>
      <c r="E2052" s="3" t="s">
        <v>16</v>
      </c>
    </row>
    <row r="2053" spans="1:5" x14ac:dyDescent="0.25">
      <c r="A2053" s="6">
        <v>2052</v>
      </c>
      <c r="B2053" s="6" t="str">
        <f>HYPERLINK("https://www.kmpharma.in/product/27134","Proguanil Nitroso Impurity 2")</f>
        <v>Proguanil Nitroso Impurity 2</v>
      </c>
      <c r="C2053" s="6" t="str">
        <f>HYPERLINK("https://www.kmpharma.in/product/27134","KMP182010")</f>
        <v>KMP182010</v>
      </c>
      <c r="D2053" s="6" t="s">
        <v>7</v>
      </c>
      <c r="E2053" s="7" t="s">
        <v>323</v>
      </c>
    </row>
    <row r="2054" spans="1:5" x14ac:dyDescent="0.25">
      <c r="A2054" s="3">
        <v>2053</v>
      </c>
      <c r="B2054" s="3" t="str">
        <f>HYPERLINK("https://www.kmpharma.in/product/27135","Proguanil Nitroso Impurity 3")</f>
        <v>Proguanil Nitroso Impurity 3</v>
      </c>
      <c r="C2054" s="3" t="str">
        <f>HYPERLINK("https://www.kmpharma.in/product/27135","KMP182011")</f>
        <v>KMP182011</v>
      </c>
      <c r="D2054" s="3" t="s">
        <v>7</v>
      </c>
      <c r="E2054" s="5" t="s">
        <v>323</v>
      </c>
    </row>
    <row r="2055" spans="1:5" x14ac:dyDescent="0.25">
      <c r="A2055" s="6">
        <v>2054</v>
      </c>
      <c r="B2055" s="6" t="str">
        <f>HYPERLINK("https://www.kmpharma.in/product/27410","Pyronaridine Nitroso Impurity 1 Lithium Salt")</f>
        <v>Pyronaridine Nitroso Impurity 1 Lithium Salt</v>
      </c>
      <c r="C2055" s="6" t="str">
        <f>HYPERLINK("https://www.kmpharma.in/product/27410","KMP213007")</f>
        <v>KMP213007</v>
      </c>
      <c r="D2055" s="6" t="s">
        <v>7</v>
      </c>
      <c r="E2055" s="7" t="s">
        <v>323</v>
      </c>
    </row>
    <row r="2056" spans="1:5" x14ac:dyDescent="0.25">
      <c r="A2056" s="3">
        <v>2055</v>
      </c>
      <c r="B2056" s="3" t="str">
        <f>HYPERLINK("https://www.kmpharma.in/product/27505","Quetiapine Nitroso EP Impurity B")</f>
        <v>Quetiapine Nitroso EP Impurity B</v>
      </c>
      <c r="C2056" s="3" t="str">
        <f>HYPERLINK("https://www.kmpharma.in/product/27505","KMQ001084")</f>
        <v>KMQ001084</v>
      </c>
      <c r="D2056" s="3" t="s">
        <v>35</v>
      </c>
      <c r="E2056" s="5" t="s">
        <v>323</v>
      </c>
    </row>
    <row r="2057" spans="1:5" x14ac:dyDescent="0.25">
      <c r="A2057" s="6">
        <v>2056</v>
      </c>
      <c r="B2057" s="6" t="str">
        <f>HYPERLINK("https://www.kmpharma.in/product/27506","Quetiapine Nitroso Impurity 1")</f>
        <v>Quetiapine Nitroso Impurity 1</v>
      </c>
      <c r="C2057" s="6" t="str">
        <f>HYPERLINK("https://www.kmpharma.in/product/27506","KMQ001085")</f>
        <v>KMQ001085</v>
      </c>
      <c r="D2057" s="6" t="s">
        <v>297</v>
      </c>
      <c r="E2057" s="7" t="s">
        <v>323</v>
      </c>
    </row>
    <row r="2058" spans="1:5" x14ac:dyDescent="0.25">
      <c r="A2058" s="3">
        <v>2057</v>
      </c>
      <c r="B2058" s="3" t="str">
        <f>HYPERLINK("https://www.kmpharma.in/product/21136","rac-Mirabegron Nitroso D5")</f>
        <v>rac-Mirabegron Nitroso D5</v>
      </c>
      <c r="C2058" s="3" t="str">
        <f>HYPERLINK("https://www.kmpharma.in/product/21136","KMM003118")</f>
        <v>KMM003118</v>
      </c>
      <c r="D2058" s="3" t="s">
        <v>7</v>
      </c>
      <c r="E2058" s="5" t="s">
        <v>323</v>
      </c>
    </row>
    <row r="2059" spans="1:5" x14ac:dyDescent="0.25">
      <c r="A2059" s="6">
        <v>2058</v>
      </c>
      <c r="B2059" s="6" t="str">
        <f>HYPERLINK("https://www.kmpharma.in/product/21140","rac-Mirabegron Nitroso Impurity")</f>
        <v>rac-Mirabegron Nitroso Impurity</v>
      </c>
      <c r="C2059" s="6" t="str">
        <f>HYPERLINK("https://www.kmpharma.in/product/21140","KMM003119")</f>
        <v>KMM003119</v>
      </c>
      <c r="D2059" s="6" t="s">
        <v>298</v>
      </c>
      <c r="E2059" s="7" t="s">
        <v>323</v>
      </c>
    </row>
    <row r="2060" spans="1:5" x14ac:dyDescent="0.25">
      <c r="A2060" s="3">
        <v>2059</v>
      </c>
      <c r="B2060" s="3" t="str">
        <f>HYPERLINK("https://www.kmpharma.in/product/39561","rac-N-Nitroso Epinephrine")</f>
        <v>rac-N-Nitroso Epinephrine</v>
      </c>
      <c r="C2060" s="3" t="str">
        <f>HYPERLINK("https://www.kmpharma.in/product/39561","KME002044")</f>
        <v>KME002044</v>
      </c>
      <c r="D2060" s="3" t="s">
        <v>35</v>
      </c>
      <c r="E2060" s="5" t="s">
        <v>323</v>
      </c>
    </row>
    <row r="2061" spans="1:5" x14ac:dyDescent="0.25">
      <c r="A2061" s="6">
        <v>2060</v>
      </c>
      <c r="B2061" s="6" t="str">
        <f>HYPERLINK("https://www.kmpharma.in/product/27814","Ramosetron Nitroso Impurity 1")</f>
        <v>Ramosetron Nitroso Impurity 1</v>
      </c>
      <c r="C2061" s="6" t="str">
        <f>HYPERLINK("https://www.kmpharma.in/product/27814","KMR021007")</f>
        <v>KMR021007</v>
      </c>
      <c r="D2061" s="6" t="s">
        <v>7</v>
      </c>
      <c r="E2061" s="6" t="s">
        <v>16</v>
      </c>
    </row>
    <row r="2062" spans="1:5" x14ac:dyDescent="0.25">
      <c r="A2062" s="3">
        <v>2061</v>
      </c>
      <c r="B2062" s="3" t="str">
        <f>HYPERLINK("https://www.kmpharma.in/product/27835","Ranitidine Nitroso Impurity 1")</f>
        <v>Ranitidine Nitroso Impurity 1</v>
      </c>
      <c r="C2062" s="3" t="str">
        <f>HYPERLINK("https://www.kmpharma.in/product/27835","KMR022021")</f>
        <v>KMR022021</v>
      </c>
      <c r="D2062" s="3" t="s">
        <v>7</v>
      </c>
      <c r="E2062" s="3" t="s">
        <v>16</v>
      </c>
    </row>
    <row r="2063" spans="1:5" x14ac:dyDescent="0.25">
      <c r="A2063" s="6">
        <v>2062</v>
      </c>
      <c r="B2063" s="6" t="str">
        <f>HYPERLINK("https://www.kmpharma.in/product/27836","Ranitidine Nitroso Impurity 2")</f>
        <v>Ranitidine Nitroso Impurity 2</v>
      </c>
      <c r="C2063" s="6" t="str">
        <f>HYPERLINK("https://www.kmpharma.in/product/27836","KMR022022")</f>
        <v>KMR022022</v>
      </c>
      <c r="D2063" s="6" t="s">
        <v>299</v>
      </c>
      <c r="E2063" s="6" t="s">
        <v>16</v>
      </c>
    </row>
    <row r="2064" spans="1:5" x14ac:dyDescent="0.25">
      <c r="A2064" s="3">
        <v>2063</v>
      </c>
      <c r="B2064" s="3" t="str">
        <f>HYPERLINK("https://www.kmpharma.in/product/27837","Ranitidine Nitroso Impurity 3")</f>
        <v>Ranitidine Nitroso Impurity 3</v>
      </c>
      <c r="C2064" s="3" t="str">
        <f>HYPERLINK("https://www.kmpharma.in/product/27837","KMR022023")</f>
        <v>KMR022023</v>
      </c>
      <c r="D2064" s="3" t="s">
        <v>7</v>
      </c>
      <c r="E2064" s="5" t="s">
        <v>325</v>
      </c>
    </row>
    <row r="2065" spans="1:5" x14ac:dyDescent="0.25">
      <c r="A2065" s="6">
        <v>2064</v>
      </c>
      <c r="B2065" s="6" t="str">
        <f>HYPERLINK("https://www.kmpharma.in/product/27887","Ranolazine N-Nitroso N-Desacetamido Impurity")</f>
        <v>Ranolazine N-Nitroso N-Desacetamido Impurity</v>
      </c>
      <c r="C2065" s="6" t="str">
        <f>HYPERLINK("https://www.kmpharma.in/product/27887","KMR009044")</f>
        <v>KMR009044</v>
      </c>
      <c r="D2065" s="6" t="s">
        <v>7</v>
      </c>
      <c r="E2065" s="6" t="s">
        <v>16</v>
      </c>
    </row>
    <row r="2066" spans="1:5" x14ac:dyDescent="0.25">
      <c r="A2066" s="3">
        <v>2065</v>
      </c>
      <c r="B2066" s="3" t="str">
        <f>HYPERLINK("https://www.kmpharma.in/product/28067","Relebactam Nitroso Impurity 1")</f>
        <v>Relebactam Nitroso Impurity 1</v>
      </c>
      <c r="C2066" s="3" t="str">
        <f>HYPERLINK("https://www.kmpharma.in/product/28067","KMR031003")</f>
        <v>KMR031003</v>
      </c>
      <c r="D2066" s="3" t="s">
        <v>7</v>
      </c>
      <c r="E2066" s="3" t="s">
        <v>16</v>
      </c>
    </row>
    <row r="2067" spans="1:5" x14ac:dyDescent="0.25">
      <c r="A2067" s="6">
        <v>2066</v>
      </c>
      <c r="B2067" s="6" t="str">
        <f>HYPERLINK("https://www.kmpharma.in/product/28136","Relugolix Nitroso Impurity 1")</f>
        <v>Relugolix Nitroso Impurity 1</v>
      </c>
      <c r="C2067" s="6" t="str">
        <f>HYPERLINK("https://www.kmpharma.in/product/28136","KMR032070")</f>
        <v>KMR032070</v>
      </c>
      <c r="D2067" s="6" t="s">
        <v>7</v>
      </c>
      <c r="E2067" s="7" t="s">
        <v>323</v>
      </c>
    </row>
    <row r="2068" spans="1:5" x14ac:dyDescent="0.25">
      <c r="A2068" s="3">
        <v>2067</v>
      </c>
      <c r="B2068" s="3" t="str">
        <f>HYPERLINK("https://www.kmpharma.in/product/28363","Revefenacin Nitroso Impurity 1")</f>
        <v>Revefenacin Nitroso Impurity 1</v>
      </c>
      <c r="C2068" s="3" t="str">
        <f>HYPERLINK("https://www.kmpharma.in/product/28363","KMR046049")</f>
        <v>KMR046049</v>
      </c>
      <c r="D2068" s="3" t="s">
        <v>7</v>
      </c>
      <c r="E2068" s="5" t="s">
        <v>323</v>
      </c>
    </row>
    <row r="2069" spans="1:5" x14ac:dyDescent="0.25">
      <c r="A2069" s="6">
        <v>2068</v>
      </c>
      <c r="B2069" s="6" t="str">
        <f>HYPERLINK("https://www.kmpharma.in/product/28450","Ribociclib Nitroso Impurity 1")</f>
        <v>Ribociclib Nitroso Impurity 1</v>
      </c>
      <c r="C2069" s="6" t="str">
        <f>HYPERLINK("https://www.kmpharma.in/product/28450","KMR005060")</f>
        <v>KMR005060</v>
      </c>
      <c r="D2069" s="6" t="s">
        <v>7</v>
      </c>
      <c r="E2069" s="7" t="s">
        <v>323</v>
      </c>
    </row>
    <row r="2070" spans="1:5" x14ac:dyDescent="0.25">
      <c r="A2070" s="3">
        <v>2069</v>
      </c>
      <c r="B2070" s="3" t="str">
        <f>HYPERLINK("https://www.kmpharma.in/product/28453","Ribociclib Nitroso Impurity 2")</f>
        <v>Ribociclib Nitroso Impurity 2</v>
      </c>
      <c r="C2070" s="3" t="str">
        <f>HYPERLINK("https://www.kmpharma.in/product/28453","KMR005061")</f>
        <v>KMR005061</v>
      </c>
      <c r="D2070" s="3" t="s">
        <v>7</v>
      </c>
      <c r="E2070" s="5" t="s">
        <v>323</v>
      </c>
    </row>
    <row r="2071" spans="1:5" x14ac:dyDescent="0.25">
      <c r="A2071" s="6">
        <v>2070</v>
      </c>
      <c r="B2071" s="6" t="str">
        <f>HYPERLINK("https://www.kmpharma.in/product/28454","Ribociclib Nitroso Impurity 3")</f>
        <v>Ribociclib Nitroso Impurity 3</v>
      </c>
      <c r="C2071" s="6" t="str">
        <f>HYPERLINK("https://www.kmpharma.in/product/28454","KMR005062")</f>
        <v>KMR005062</v>
      </c>
      <c r="D2071" s="6" t="s">
        <v>7</v>
      </c>
      <c r="E2071" s="6" t="s">
        <v>16</v>
      </c>
    </row>
    <row r="2072" spans="1:5" x14ac:dyDescent="0.25">
      <c r="A2072" s="3">
        <v>2071</v>
      </c>
      <c r="B2072" s="3" t="str">
        <f>HYPERLINK("https://www.kmpharma.in/product/28479","Ridinilazole Nitroso Impurity 1")</f>
        <v>Ridinilazole Nitroso Impurity 1</v>
      </c>
      <c r="C2072" s="3" t="str">
        <f>HYPERLINK("https://www.kmpharma.in/product/28479","KMR052007")</f>
        <v>KMR052007</v>
      </c>
      <c r="D2072" s="3" t="s">
        <v>7</v>
      </c>
      <c r="E2072" s="5" t="s">
        <v>321</v>
      </c>
    </row>
    <row r="2073" spans="1:5" x14ac:dyDescent="0.25">
      <c r="A2073" s="6">
        <v>2072</v>
      </c>
      <c r="B2073" s="6" t="str">
        <f>HYPERLINK("https://www.kmpharma.in/product/28480","Ridinilazole Nitroso Impurity 2")</f>
        <v>Ridinilazole Nitroso Impurity 2</v>
      </c>
      <c r="C2073" s="6" t="str">
        <f>HYPERLINK("https://www.kmpharma.in/product/28480","KMR052008")</f>
        <v>KMR052008</v>
      </c>
      <c r="D2073" s="6" t="s">
        <v>7</v>
      </c>
      <c r="E2073" s="6" t="s">
        <v>16</v>
      </c>
    </row>
    <row r="2074" spans="1:5" x14ac:dyDescent="0.25">
      <c r="A2074" s="3">
        <v>2073</v>
      </c>
      <c r="B2074" s="3" t="str">
        <f>HYPERLINK("https://www.kmpharma.in/product/28605","Rilpivirine Nitroso Impurity")</f>
        <v>Rilpivirine Nitroso Impurity</v>
      </c>
      <c r="C2074" s="3" t="str">
        <f>HYPERLINK("https://www.kmpharma.in/product/28605","KMR059036")</f>
        <v>KMR059036</v>
      </c>
      <c r="D2074" s="3" t="s">
        <v>7</v>
      </c>
      <c r="E2074" s="5" t="s">
        <v>321</v>
      </c>
    </row>
    <row r="2075" spans="1:5" x14ac:dyDescent="0.25">
      <c r="A2075" s="6">
        <v>2074</v>
      </c>
      <c r="B2075" s="6" t="str">
        <f>HYPERLINK("https://www.kmpharma.in/product/28643","Rimegepant Nitroso Impurity 1")</f>
        <v>Rimegepant Nitroso Impurity 1</v>
      </c>
      <c r="C2075" s="6" t="str">
        <f>HYPERLINK("https://www.kmpharma.in/product/28643","KMR061024")</f>
        <v>KMR061024</v>
      </c>
      <c r="D2075" s="6" t="s">
        <v>7</v>
      </c>
      <c r="E2075" s="6" t="s">
        <v>16</v>
      </c>
    </row>
    <row r="2076" spans="1:5" x14ac:dyDescent="0.25">
      <c r="A2076" s="3">
        <v>2075</v>
      </c>
      <c r="B2076" s="3" t="str">
        <f>HYPERLINK("https://www.kmpharma.in/product/28644","Rimegepant Nitroso Impurity 2")</f>
        <v>Rimegepant Nitroso Impurity 2</v>
      </c>
      <c r="C2076" s="3" t="str">
        <f>HYPERLINK("https://www.kmpharma.in/product/28644","KMR061025")</f>
        <v>KMR061025</v>
      </c>
      <c r="D2076" s="3" t="s">
        <v>7</v>
      </c>
      <c r="E2076" s="5" t="s">
        <v>323</v>
      </c>
    </row>
    <row r="2077" spans="1:5" x14ac:dyDescent="0.25">
      <c r="A2077" s="6">
        <v>2076</v>
      </c>
      <c r="B2077" s="6" t="str">
        <f>HYPERLINK("https://www.kmpharma.in/product/28645","Rimegepant Nitroso Impurity 3")</f>
        <v>Rimegepant Nitroso Impurity 3</v>
      </c>
      <c r="C2077" s="6" t="str">
        <f>HYPERLINK("https://www.kmpharma.in/product/28645","KMR061026")</f>
        <v>KMR061026</v>
      </c>
      <c r="D2077" s="6" t="s">
        <v>7</v>
      </c>
      <c r="E2077" s="6" t="s">
        <v>16</v>
      </c>
    </row>
    <row r="2078" spans="1:5" x14ac:dyDescent="0.25">
      <c r="A2078" s="3">
        <v>2077</v>
      </c>
      <c r="B2078" s="3" t="str">
        <f>HYPERLINK("https://www.kmpharma.in/product/28646","Rimegepant Nitroso Impurity 4")</f>
        <v>Rimegepant Nitroso Impurity 4</v>
      </c>
      <c r="C2078" s="3" t="str">
        <f>HYPERLINK("https://www.kmpharma.in/product/28646","KMR061027")</f>
        <v>KMR061027</v>
      </c>
      <c r="D2078" s="3" t="s">
        <v>7</v>
      </c>
      <c r="E2078" s="5" t="s">
        <v>321</v>
      </c>
    </row>
    <row r="2079" spans="1:5" x14ac:dyDescent="0.25">
      <c r="A2079" s="6">
        <v>2078</v>
      </c>
      <c r="B2079" s="6" t="str">
        <f>HYPERLINK("https://www.kmpharma.in/product/28696","Riociguat N-Nitroso Des Formyl Impurity")</f>
        <v>Riociguat N-Nitroso Des Formyl Impurity</v>
      </c>
      <c r="C2079" s="6" t="str">
        <f>HYPERLINK("https://www.kmpharma.in/product/28696","KMR062046")</f>
        <v>KMR062046</v>
      </c>
      <c r="D2079" s="6" t="s">
        <v>7</v>
      </c>
      <c r="E2079" s="7" t="s">
        <v>322</v>
      </c>
    </row>
    <row r="2080" spans="1:5" x14ac:dyDescent="0.25">
      <c r="A2080" s="3">
        <v>2079</v>
      </c>
      <c r="B2080" s="3" t="str">
        <f>HYPERLINK("https://www.kmpharma.in/product/28697","Riociguat Nitroso USP Related Compound C")</f>
        <v>Riociguat Nitroso USP Related Compound C</v>
      </c>
      <c r="C2080" s="3" t="str">
        <f>HYPERLINK("https://www.kmpharma.in/product/28697","KMR062048")</f>
        <v>KMR062048</v>
      </c>
      <c r="D2080" s="3" t="s">
        <v>7</v>
      </c>
      <c r="E2080" s="5" t="s">
        <v>321</v>
      </c>
    </row>
    <row r="2081" spans="1:5" x14ac:dyDescent="0.25">
      <c r="A2081" s="6">
        <v>2080</v>
      </c>
      <c r="B2081" s="6" t="str">
        <f>HYPERLINK("https://www.kmpharma.in/product/29028","Rivaroxaban Amino Acid Phthalimide Nitroso Impurity")</f>
        <v>Rivaroxaban Amino Acid Phthalimide Nitroso Impurity</v>
      </c>
      <c r="C2081" s="6" t="str">
        <f>HYPERLINK("https://www.kmpharma.in/product/29028","KMR002030")</f>
        <v>KMR002030</v>
      </c>
      <c r="D2081" s="6" t="s">
        <v>7</v>
      </c>
      <c r="E2081" s="7" t="s">
        <v>323</v>
      </c>
    </row>
    <row r="2082" spans="1:5" x14ac:dyDescent="0.25">
      <c r="A2082" s="3">
        <v>2081</v>
      </c>
      <c r="B2082" s="3" t="str">
        <f>HYPERLINK("https://www.kmpharma.in/product/29035","Rivaroxaban N-Nitroso Amide Impurity")</f>
        <v>Rivaroxaban N-Nitroso Amide Impurity</v>
      </c>
      <c r="C2082" s="3" t="str">
        <f>HYPERLINK("https://www.kmpharma.in/product/29035","KMR002156")</f>
        <v>KMR002156</v>
      </c>
      <c r="D2082" s="3" t="s">
        <v>7</v>
      </c>
      <c r="E2082" s="5" t="s">
        <v>321</v>
      </c>
    </row>
    <row r="2083" spans="1:5" x14ac:dyDescent="0.25">
      <c r="A2083" s="6">
        <v>2082</v>
      </c>
      <c r="B2083" s="6" t="str">
        <f>HYPERLINK("https://www.kmpharma.in/product/29026","Rivaroxaban N-Nitroso Amide Impurity D5")</f>
        <v>Rivaroxaban N-Nitroso Amide Impurity D5</v>
      </c>
      <c r="C2083" s="6" t="str">
        <f>HYPERLINK("https://www.kmpharma.in/product/29026","KMR002157")</f>
        <v>KMR002157</v>
      </c>
      <c r="D2083" s="6" t="s">
        <v>7</v>
      </c>
      <c r="E2083" s="7" t="s">
        <v>321</v>
      </c>
    </row>
    <row r="2084" spans="1:5" x14ac:dyDescent="0.25">
      <c r="A2084" s="3">
        <v>2083</v>
      </c>
      <c r="B2084" s="3" t="str">
        <f>HYPERLINK("https://www.kmpharma.in/product/29029","Rivaroxaban Nitroso Impurity 1")</f>
        <v>Rivaroxaban Nitroso Impurity 1</v>
      </c>
      <c r="C2084" s="3" t="str">
        <f>HYPERLINK("https://www.kmpharma.in/product/29029","KMR002158")</f>
        <v>KMR002158</v>
      </c>
      <c r="D2084" s="3" t="s">
        <v>300</v>
      </c>
      <c r="E2084" s="5" t="s">
        <v>323</v>
      </c>
    </row>
    <row r="2085" spans="1:5" x14ac:dyDescent="0.25">
      <c r="A2085" s="6">
        <v>2084</v>
      </c>
      <c r="B2085" s="6" t="str">
        <f>HYPERLINK("https://www.kmpharma.in/product/29030","Rivaroxaban Nitroso Impurity 11")</f>
        <v>Rivaroxaban Nitroso Impurity 11</v>
      </c>
      <c r="C2085" s="6" t="str">
        <f>HYPERLINK("https://www.kmpharma.in/product/29030","KMR002159")</f>
        <v>KMR002159</v>
      </c>
      <c r="D2085" s="6" t="s">
        <v>7</v>
      </c>
      <c r="E2085" s="7" t="s">
        <v>323</v>
      </c>
    </row>
    <row r="2086" spans="1:5" x14ac:dyDescent="0.25">
      <c r="A2086" s="3">
        <v>2085</v>
      </c>
      <c r="B2086" s="3" t="str">
        <f>HYPERLINK("https://www.kmpharma.in/product/29037","Rivaroxaban Nitroso Impurity 12")</f>
        <v>Rivaroxaban Nitroso Impurity 12</v>
      </c>
      <c r="C2086" s="3" t="str">
        <f>HYPERLINK("https://www.kmpharma.in/product/29037","KMR002160")</f>
        <v>KMR002160</v>
      </c>
      <c r="D2086" s="3" t="s">
        <v>7</v>
      </c>
      <c r="E2086" s="5" t="s">
        <v>322</v>
      </c>
    </row>
    <row r="2087" spans="1:5" x14ac:dyDescent="0.25">
      <c r="A2087" s="6">
        <v>2086</v>
      </c>
      <c r="B2087" s="6" t="str">
        <f>HYPERLINK("https://www.kmpharma.in/product/29031","Rivaroxaban Nitroso Impurity 13")</f>
        <v>Rivaroxaban Nitroso Impurity 13</v>
      </c>
      <c r="C2087" s="6" t="str">
        <f>HYPERLINK("https://www.kmpharma.in/product/29031","KMR002161")</f>
        <v>KMR002161</v>
      </c>
      <c r="D2087" s="6" t="s">
        <v>7</v>
      </c>
      <c r="E2087" s="7" t="s">
        <v>322</v>
      </c>
    </row>
    <row r="2088" spans="1:5" x14ac:dyDescent="0.25">
      <c r="A2088" s="3">
        <v>2087</v>
      </c>
      <c r="B2088" s="3" t="str">
        <f>HYPERLINK("https://www.kmpharma.in/product/29038","Rivaroxaban Nitroso Impurity 14")</f>
        <v>Rivaroxaban Nitroso Impurity 14</v>
      </c>
      <c r="C2088" s="3" t="str">
        <f>HYPERLINK("https://www.kmpharma.in/product/29038","KMR002162")</f>
        <v>KMR002162</v>
      </c>
      <c r="D2088" s="3" t="s">
        <v>7</v>
      </c>
      <c r="E2088" s="5" t="s">
        <v>323</v>
      </c>
    </row>
    <row r="2089" spans="1:5" x14ac:dyDescent="0.25">
      <c r="A2089" s="6">
        <v>2088</v>
      </c>
      <c r="B2089" s="6" t="str">
        <f>HYPERLINK("https://www.kmpharma.in/product/29039","Rivaroxaban Nitroso Impurity 15")</f>
        <v>Rivaroxaban Nitroso Impurity 15</v>
      </c>
      <c r="C2089" s="6" t="str">
        <f>HYPERLINK("https://www.kmpharma.in/product/29039","KMR002163")</f>
        <v>KMR002163</v>
      </c>
      <c r="D2089" s="6" t="s">
        <v>7</v>
      </c>
      <c r="E2089" s="6" t="s">
        <v>16</v>
      </c>
    </row>
    <row r="2090" spans="1:5" x14ac:dyDescent="0.25">
      <c r="A2090" s="3">
        <v>2089</v>
      </c>
      <c r="B2090" s="3" t="str">
        <f>HYPERLINK("https://www.kmpharma.in/product/29040","Rivaroxaban Nitroso Impurity 16")</f>
        <v>Rivaroxaban Nitroso Impurity 16</v>
      </c>
      <c r="C2090" s="3" t="str">
        <f>HYPERLINK("https://www.kmpharma.in/product/29040","KMR002164")</f>
        <v>KMR002164</v>
      </c>
      <c r="D2090" s="3" t="s">
        <v>7</v>
      </c>
      <c r="E2090" s="5" t="s">
        <v>321</v>
      </c>
    </row>
    <row r="2091" spans="1:5" x14ac:dyDescent="0.25">
      <c r="A2091" s="6">
        <v>2090</v>
      </c>
      <c r="B2091" s="6" t="str">
        <f>HYPERLINK("https://www.kmpharma.in/product/29032","Rivaroxaban Nitroso Impurity 2")</f>
        <v>Rivaroxaban Nitroso Impurity 2</v>
      </c>
      <c r="C2091" s="6" t="str">
        <f>HYPERLINK("https://www.kmpharma.in/product/29032","KMR002165")</f>
        <v>KMR002165</v>
      </c>
      <c r="D2091" s="6" t="s">
        <v>7</v>
      </c>
      <c r="E2091" s="6" t="s">
        <v>16</v>
      </c>
    </row>
    <row r="2092" spans="1:5" x14ac:dyDescent="0.25">
      <c r="A2092" s="3">
        <v>2091</v>
      </c>
      <c r="B2092" s="3" t="str">
        <f>HYPERLINK("https://www.kmpharma.in/product/29033","Rivaroxaban Nitroso Impurity 4")</f>
        <v>Rivaroxaban Nitroso Impurity 4</v>
      </c>
      <c r="C2092" s="3" t="str">
        <f>HYPERLINK("https://www.kmpharma.in/product/29033","KMR002166")</f>
        <v>KMR002166</v>
      </c>
      <c r="D2092" s="3" t="s">
        <v>301</v>
      </c>
      <c r="E2092" s="5" t="s">
        <v>321</v>
      </c>
    </row>
    <row r="2093" spans="1:5" x14ac:dyDescent="0.25">
      <c r="A2093" s="6">
        <v>2092</v>
      </c>
      <c r="B2093" s="6" t="str">
        <f>HYPERLINK("https://www.kmpharma.in/product/417","Rivaroxaban Nitroso Impurity 5")</f>
        <v>Rivaroxaban Nitroso Impurity 5</v>
      </c>
      <c r="C2093" s="6" t="str">
        <f>HYPERLINK("https://www.kmpharma.in/product/417","KMR002006")</f>
        <v>KMR002006</v>
      </c>
      <c r="D2093" s="6" t="s">
        <v>163</v>
      </c>
      <c r="E2093" s="7" t="s">
        <v>321</v>
      </c>
    </row>
    <row r="2094" spans="1:5" x14ac:dyDescent="0.25">
      <c r="A2094" s="3">
        <v>2093</v>
      </c>
      <c r="B2094" s="3" t="str">
        <f>HYPERLINK("https://www.kmpharma.in/product/37587","Rivaroxaban Nitroso Impurity 5")</f>
        <v>Rivaroxaban Nitroso Impurity 5</v>
      </c>
      <c r="C2094" s="3" t="str">
        <f>HYPERLINK("https://www.kmpharma.in/product/37587","KMR002167")</f>
        <v>KMR002167</v>
      </c>
      <c r="D2094" s="3" t="s">
        <v>7</v>
      </c>
      <c r="E2094" s="5" t="s">
        <v>321</v>
      </c>
    </row>
    <row r="2095" spans="1:5" x14ac:dyDescent="0.25">
      <c r="A2095" s="6">
        <v>2094</v>
      </c>
      <c r="B2095" s="6" t="str">
        <f>HYPERLINK("https://www.kmpharma.in/product/29041","Rivaroxaban Nitroso Impurity 6")</f>
        <v>Rivaroxaban Nitroso Impurity 6</v>
      </c>
      <c r="C2095" s="6" t="str">
        <f>HYPERLINK("https://www.kmpharma.in/product/29041","KMR002168")</f>
        <v>KMR002168</v>
      </c>
      <c r="D2095" s="6" t="s">
        <v>302</v>
      </c>
      <c r="E2095" s="7" t="s">
        <v>321</v>
      </c>
    </row>
    <row r="2096" spans="1:5" x14ac:dyDescent="0.25">
      <c r="A2096" s="3">
        <v>2095</v>
      </c>
      <c r="B2096" s="3" t="str">
        <f>HYPERLINK("https://www.kmpharma.in/product/29042","Rivaroxaban Nitroso Impurity 7")</f>
        <v>Rivaroxaban Nitroso Impurity 7</v>
      </c>
      <c r="C2096" s="3" t="str">
        <f>HYPERLINK("https://www.kmpharma.in/product/29042","KMR002169")</f>
        <v>KMR002169</v>
      </c>
      <c r="D2096" s="3" t="s">
        <v>7</v>
      </c>
      <c r="E2096" s="5" t="s">
        <v>321</v>
      </c>
    </row>
    <row r="2097" spans="1:5" x14ac:dyDescent="0.25">
      <c r="A2097" s="6">
        <v>2096</v>
      </c>
      <c r="B2097" s="6" t="str">
        <f>HYPERLINK("https://www.kmpharma.in/product/29034","Rivaroxaban Nitroso Impurity 9")</f>
        <v>Rivaroxaban Nitroso Impurity 9</v>
      </c>
      <c r="C2097" s="6" t="str">
        <f>HYPERLINK("https://www.kmpharma.in/product/29034","KMR002170")</f>
        <v>KMR002170</v>
      </c>
      <c r="D2097" s="6" t="s">
        <v>303</v>
      </c>
      <c r="E2097" s="7" t="s">
        <v>321</v>
      </c>
    </row>
    <row r="2098" spans="1:5" x14ac:dyDescent="0.25">
      <c r="A2098" s="3">
        <v>2097</v>
      </c>
      <c r="B2098" s="3" t="str">
        <f>HYPERLINK("https://www.kmpharma.in/product/418","Rivaroxaban nitroso impurity-1")</f>
        <v>Rivaroxaban nitroso impurity-1</v>
      </c>
      <c r="C2098" s="3" t="str">
        <f>HYPERLINK("https://www.kmpharma.in/product/418","KMR002007")</f>
        <v>KMR002007</v>
      </c>
      <c r="D2098" s="3" t="s">
        <v>300</v>
      </c>
      <c r="E2098" s="5" t="s">
        <v>321</v>
      </c>
    </row>
    <row r="2099" spans="1:5" x14ac:dyDescent="0.25">
      <c r="A2099" s="6">
        <v>2098</v>
      </c>
      <c r="B2099" s="6" t="str">
        <f>HYPERLINK("https://www.kmpharma.in/product/416","Rivaroxaban Nitroso Impurity-2")</f>
        <v>Rivaroxaban Nitroso Impurity-2</v>
      </c>
      <c r="C2099" s="6" t="str">
        <f>HYPERLINK("https://www.kmpharma.in/product/416","KMR002005")</f>
        <v>KMR002005</v>
      </c>
      <c r="D2099" s="6" t="s">
        <v>163</v>
      </c>
      <c r="E2099" s="7" t="s">
        <v>321</v>
      </c>
    </row>
    <row r="2100" spans="1:5" x14ac:dyDescent="0.25">
      <c r="A2100" s="3">
        <v>2099</v>
      </c>
      <c r="B2100" s="3" t="str">
        <f>HYPERLINK("https://www.kmpharma.in/product/29036","Rivaroxaban Phthalimido Descarbonyl Nitroso Impurity")</f>
        <v>Rivaroxaban Phthalimido Descarbonyl Nitroso Impurity</v>
      </c>
      <c r="C2100" s="3" t="str">
        <f>HYPERLINK("https://www.kmpharma.in/product/29036","KMR002179")</f>
        <v>KMR002179</v>
      </c>
      <c r="D2100" s="3" t="s">
        <v>7</v>
      </c>
      <c r="E2100" s="5" t="s">
        <v>321</v>
      </c>
    </row>
    <row r="2101" spans="1:5" x14ac:dyDescent="0.25">
      <c r="A2101" s="6">
        <v>2100</v>
      </c>
      <c r="B2101" s="6" t="str">
        <f>HYPERLINK("https://www.kmpharma.in/product/29116","Rizatriptan Nitroso Impurity 2")</f>
        <v>Rizatriptan Nitroso Impurity 2</v>
      </c>
      <c r="C2101" s="6" t="str">
        <f>HYPERLINK("https://www.kmpharma.in/product/29116","KMR074033")</f>
        <v>KMR074033</v>
      </c>
      <c r="D2101" s="6" t="s">
        <v>7</v>
      </c>
      <c r="E2101" s="7" t="s">
        <v>321</v>
      </c>
    </row>
    <row r="2102" spans="1:5" x14ac:dyDescent="0.25">
      <c r="A2102" s="3">
        <v>2101</v>
      </c>
      <c r="B2102" s="3" t="str">
        <f>HYPERLINK("https://www.kmpharma.in/product/29115","Rizatriptan Nitroso Impurity 3")</f>
        <v>Rizatriptan Nitroso Impurity 3</v>
      </c>
      <c r="C2102" s="3" t="str">
        <f>HYPERLINK("https://www.kmpharma.in/product/29115","KMR074034")</f>
        <v>KMR074034</v>
      </c>
      <c r="D2102" s="3" t="s">
        <v>7</v>
      </c>
      <c r="E2102" s="5" t="s">
        <v>323</v>
      </c>
    </row>
    <row r="2103" spans="1:5" x14ac:dyDescent="0.25">
      <c r="A2103" s="6">
        <v>2102</v>
      </c>
      <c r="B2103" s="6" t="str">
        <f>HYPERLINK("https://www.kmpharma.in/product/29456","Rosuvastatin Nitroso Impurity 1")</f>
        <v>Rosuvastatin Nitroso Impurity 1</v>
      </c>
      <c r="C2103" s="6" t="str">
        <f>HYPERLINK("https://www.kmpharma.in/product/29456","KMR010184")</f>
        <v>KMR010184</v>
      </c>
      <c r="D2103" s="6" t="s">
        <v>7</v>
      </c>
      <c r="E2103" s="6" t="s">
        <v>16</v>
      </c>
    </row>
    <row r="2104" spans="1:5" x14ac:dyDescent="0.25">
      <c r="A2104" s="3">
        <v>2103</v>
      </c>
      <c r="B2104" s="3" t="str">
        <f>HYPERLINK("https://www.kmpharma.in/product/29457","Rosuvastatin Nitroso Impurity 2")</f>
        <v>Rosuvastatin Nitroso Impurity 2</v>
      </c>
      <c r="C2104" s="3" t="str">
        <f>HYPERLINK("https://www.kmpharma.in/product/29457","KMR010185")</f>
        <v>KMR010185</v>
      </c>
      <c r="D2104" s="3" t="s">
        <v>7</v>
      </c>
      <c r="E2104" s="5" t="s">
        <v>323</v>
      </c>
    </row>
    <row r="2105" spans="1:5" x14ac:dyDescent="0.25">
      <c r="A2105" s="6">
        <v>2104</v>
      </c>
      <c r="B2105" s="6" t="str">
        <f>HYPERLINK("https://www.kmpharma.in/product/29478","Rotigotine Nitroso Impurity 1")</f>
        <v>Rotigotine Nitroso Impurity 1</v>
      </c>
      <c r="C2105" s="6" t="str">
        <f>HYPERLINK("https://www.kmpharma.in/product/29478","KMR085023")</f>
        <v>KMR085023</v>
      </c>
      <c r="D2105" s="6" t="s">
        <v>7</v>
      </c>
      <c r="E2105" s="7" t="s">
        <v>321</v>
      </c>
    </row>
    <row r="2106" spans="1:5" x14ac:dyDescent="0.25">
      <c r="A2106" s="3">
        <v>2105</v>
      </c>
      <c r="B2106" s="3" t="str">
        <f>HYPERLINK("https://www.kmpharma.in/product/29550","Rucaparib Nitroso Impurity 1")</f>
        <v>Rucaparib Nitroso Impurity 1</v>
      </c>
      <c r="C2106" s="3" t="str">
        <f>HYPERLINK("https://www.kmpharma.in/product/29550","KMR089022")</f>
        <v>KMR089022</v>
      </c>
      <c r="D2106" s="3" t="s">
        <v>7</v>
      </c>
      <c r="E2106" s="3" t="s">
        <v>16</v>
      </c>
    </row>
    <row r="2107" spans="1:5" x14ac:dyDescent="0.25">
      <c r="A2107" s="6">
        <v>2106</v>
      </c>
      <c r="B2107" s="6" t="str">
        <f>HYPERLINK("https://www.kmpharma.in/product/29551","Rucaparib Nitroso Impurity 2")</f>
        <v>Rucaparib Nitroso Impurity 2</v>
      </c>
      <c r="C2107" s="6" t="str">
        <f>HYPERLINK("https://www.kmpharma.in/product/29551","KMR089023")</f>
        <v>KMR089023</v>
      </c>
      <c r="D2107" s="6" t="s">
        <v>7</v>
      </c>
      <c r="E2107" s="6" t="s">
        <v>16</v>
      </c>
    </row>
    <row r="2108" spans="1:5" x14ac:dyDescent="0.25">
      <c r="A2108" s="3">
        <v>2107</v>
      </c>
      <c r="B2108" s="3" t="str">
        <f>HYPERLINK("https://www.kmpharma.in/product/29549","Rucaparib Nitroso Impurity 3")</f>
        <v>Rucaparib Nitroso Impurity 3</v>
      </c>
      <c r="C2108" s="3" t="str">
        <f>HYPERLINK("https://www.kmpharma.in/product/29549","KMR089024")</f>
        <v>KMR089024</v>
      </c>
      <c r="D2108" s="3" t="s">
        <v>7</v>
      </c>
      <c r="E2108" s="3" t="s">
        <v>16</v>
      </c>
    </row>
    <row r="2109" spans="1:5" x14ac:dyDescent="0.25">
      <c r="A2109" s="6">
        <v>2108</v>
      </c>
      <c r="B2109" s="6" t="str">
        <f>HYPERLINK("https://www.kmpharma.in/product/29644","Ruxolitinib Nitroso Amide Impurity")</f>
        <v>Ruxolitinib Nitroso Amide Impurity</v>
      </c>
      <c r="C2109" s="6" t="str">
        <f>HYPERLINK("https://www.kmpharma.in/product/29644","KMR093046")</f>
        <v>KMR093046</v>
      </c>
      <c r="D2109" s="6" t="s">
        <v>7</v>
      </c>
      <c r="E2109" s="7" t="s">
        <v>323</v>
      </c>
    </row>
    <row r="2110" spans="1:5" x14ac:dyDescent="0.25">
      <c r="A2110" s="3">
        <v>2109</v>
      </c>
      <c r="B2110" s="3" t="str">
        <f>HYPERLINK("https://www.kmpharma.in/product/29645","Ruxolitinib Nitroso Impurity 1")</f>
        <v>Ruxolitinib Nitroso Impurity 1</v>
      </c>
      <c r="C2110" s="3" t="str">
        <f>HYPERLINK("https://www.kmpharma.in/product/29645","KMR093047")</f>
        <v>KMR093047</v>
      </c>
      <c r="D2110" s="3" t="s">
        <v>7</v>
      </c>
      <c r="E2110" s="3" t="s">
        <v>16</v>
      </c>
    </row>
    <row r="2111" spans="1:5" x14ac:dyDescent="0.25">
      <c r="A2111" s="6">
        <v>2110</v>
      </c>
      <c r="B2111" s="6" t="str">
        <f>HYPERLINK("https://www.kmpharma.in/product/29646","Ruxolitinib Nitroso Impurity 2")</f>
        <v>Ruxolitinib Nitroso Impurity 2</v>
      </c>
      <c r="C2111" s="6" t="str">
        <f>HYPERLINK("https://www.kmpharma.in/product/29646","KMR093048")</f>
        <v>KMR093048</v>
      </c>
      <c r="D2111" s="6" t="s">
        <v>7</v>
      </c>
      <c r="E2111" s="6" t="s">
        <v>16</v>
      </c>
    </row>
    <row r="2112" spans="1:5" x14ac:dyDescent="0.25">
      <c r="A2112" s="3">
        <v>2111</v>
      </c>
      <c r="B2112" s="3" t="str">
        <f>HYPERLINK("https://www.kmpharma.in/product/29647","Ruxolitinib Nitroso Impurity 3")</f>
        <v>Ruxolitinib Nitroso Impurity 3</v>
      </c>
      <c r="C2112" s="3" t="str">
        <f>HYPERLINK("https://www.kmpharma.in/product/29647","KMR093049")</f>
        <v>KMR093049</v>
      </c>
      <c r="D2112" s="3" t="s">
        <v>7</v>
      </c>
      <c r="E2112" s="3" t="s">
        <v>16</v>
      </c>
    </row>
    <row r="2113" spans="1:5" x14ac:dyDescent="0.25">
      <c r="A2113" s="6">
        <v>2112</v>
      </c>
      <c r="B2113" s="6" t="str">
        <f>HYPERLINK("https://www.kmpharma.in/product/29648","Ruxolitinib Nitroso Impurity 4")</f>
        <v>Ruxolitinib Nitroso Impurity 4</v>
      </c>
      <c r="C2113" s="6" t="str">
        <f>HYPERLINK("https://www.kmpharma.in/product/29648","KMR093050")</f>
        <v>KMR093050</v>
      </c>
      <c r="D2113" s="6" t="s">
        <v>7</v>
      </c>
      <c r="E2113" s="7" t="s">
        <v>321</v>
      </c>
    </row>
    <row r="2114" spans="1:5" x14ac:dyDescent="0.25">
      <c r="A2114" s="3">
        <v>2113</v>
      </c>
      <c r="B2114" s="3" t="str">
        <f>HYPERLINK("https://www.kmpharma.in/product/37383","S-Nitroso-N-acetyl-D,L-penicillamine")</f>
        <v>S-Nitroso-N-acetyl-D,L-penicillamine</v>
      </c>
      <c r="C2114" s="3" t="str">
        <f>HYPERLINK("https://www.kmpharma.in/product/37383","KMP025022")</f>
        <v>KMP025022</v>
      </c>
      <c r="D2114" s="3" t="s">
        <v>304</v>
      </c>
      <c r="E2114" s="3" t="s">
        <v>16</v>
      </c>
    </row>
    <row r="2115" spans="1:5" x14ac:dyDescent="0.25">
      <c r="A2115" s="6">
        <v>2114</v>
      </c>
      <c r="B2115" s="6" t="str">
        <f>HYPERLINK("https://www.kmpharma.in/product/29770","Safinamide Nitroso Impurity 1")</f>
        <v>Safinamide Nitroso Impurity 1</v>
      </c>
      <c r="C2115" s="6" t="str">
        <f>HYPERLINK("https://www.kmpharma.in/product/29770","KMS018025")</f>
        <v>KMS018025</v>
      </c>
      <c r="D2115" s="6" t="s">
        <v>7</v>
      </c>
      <c r="E2115" s="7" t="s">
        <v>321</v>
      </c>
    </row>
    <row r="2116" spans="1:5" x14ac:dyDescent="0.25">
      <c r="A2116" s="3">
        <v>2115</v>
      </c>
      <c r="B2116" s="3" t="str">
        <f>HYPERLINK("https://www.kmpharma.in/product/29840","Salbutamol Nitroso Impurity 1")</f>
        <v>Salbutamol Nitroso Impurity 1</v>
      </c>
      <c r="C2116" s="3" t="str">
        <f>HYPERLINK("https://www.kmpharma.in/product/29840","KMS009063")</f>
        <v>KMS009063</v>
      </c>
      <c r="D2116" s="3" t="s">
        <v>305</v>
      </c>
      <c r="E2116" s="5" t="s">
        <v>321</v>
      </c>
    </row>
    <row r="2117" spans="1:5" x14ac:dyDescent="0.25">
      <c r="A2117" s="6">
        <v>2116</v>
      </c>
      <c r="B2117" s="6" t="str">
        <f>HYPERLINK("https://www.kmpharma.in/product/29885","Salmeterol Nitroso Impurity")</f>
        <v>Salmeterol Nitroso Impurity</v>
      </c>
      <c r="C2117" s="6" t="str">
        <f>HYPERLINK("https://www.kmpharma.in/product/29885","KMS024033")</f>
        <v>KMS024033</v>
      </c>
      <c r="D2117" s="6" t="s">
        <v>7</v>
      </c>
      <c r="E2117" s="7" t="s">
        <v>321</v>
      </c>
    </row>
    <row r="2118" spans="1:5" x14ac:dyDescent="0.25">
      <c r="A2118" s="3">
        <v>2117</v>
      </c>
      <c r="B2118" s="3" t="str">
        <f>HYPERLINK("https://www.kmpharma.in/product/29895","Samidorphan Nitroso Impurity 1")</f>
        <v>Samidorphan Nitroso Impurity 1</v>
      </c>
      <c r="C2118" s="3" t="str">
        <f>HYPERLINK("https://www.kmpharma.in/product/29895","KMS025010")</f>
        <v>KMS025010</v>
      </c>
      <c r="D2118" s="3" t="s">
        <v>7</v>
      </c>
      <c r="E2118" s="5" t="s">
        <v>321</v>
      </c>
    </row>
    <row r="2119" spans="1:5" x14ac:dyDescent="0.25">
      <c r="A2119" s="6">
        <v>2118</v>
      </c>
      <c r="B2119" s="6" t="str">
        <f>HYPERLINK("https://www.kmpharma.in/product/29943","Sapropterin Nitroso Impurity 1")</f>
        <v>Sapropterin Nitroso Impurity 1</v>
      </c>
      <c r="C2119" s="6" t="str">
        <f>HYPERLINK("https://www.kmpharma.in/product/29943","KMS026043")</f>
        <v>KMS026043</v>
      </c>
      <c r="D2119" s="6" t="s">
        <v>7</v>
      </c>
      <c r="E2119" s="7" t="s">
        <v>323</v>
      </c>
    </row>
    <row r="2120" spans="1:5" x14ac:dyDescent="0.25">
      <c r="A2120" s="3">
        <v>2119</v>
      </c>
      <c r="B2120" s="3" t="str">
        <f>HYPERLINK("https://www.kmpharma.in/product/29944","Sapropterin Nitroso Impurity 2")</f>
        <v>Sapropterin Nitroso Impurity 2</v>
      </c>
      <c r="C2120" s="3" t="str">
        <f>HYPERLINK("https://www.kmpharma.in/product/29944","KMS026044")</f>
        <v>KMS026044</v>
      </c>
      <c r="D2120" s="3" t="s">
        <v>7</v>
      </c>
      <c r="E2120" s="5" t="s">
        <v>323</v>
      </c>
    </row>
    <row r="2121" spans="1:5" x14ac:dyDescent="0.25">
      <c r="A2121" s="6">
        <v>2120</v>
      </c>
      <c r="B2121" s="6" t="str">
        <f>HYPERLINK("https://www.kmpharma.in/product/29945","Sapropterin Nitroso Impurity 3")</f>
        <v>Sapropterin Nitroso Impurity 3</v>
      </c>
      <c r="C2121" s="6" t="str">
        <f>HYPERLINK("https://www.kmpharma.in/product/29945","KMS026045")</f>
        <v>KMS026045</v>
      </c>
      <c r="D2121" s="6" t="s">
        <v>306</v>
      </c>
      <c r="E2121" s="6" t="s">
        <v>16</v>
      </c>
    </row>
    <row r="2122" spans="1:5" x14ac:dyDescent="0.25">
      <c r="A2122" s="3">
        <v>2121</v>
      </c>
      <c r="B2122" s="3" t="str">
        <f>HYPERLINK("https://www.kmpharma.in/product/29946","Sapropterin Nitroso Impurity 4")</f>
        <v>Sapropterin Nitroso Impurity 4</v>
      </c>
      <c r="C2122" s="3" t="str">
        <f>HYPERLINK("https://www.kmpharma.in/product/29946","KMS026046")</f>
        <v>KMS026046</v>
      </c>
      <c r="D2122" s="3" t="s">
        <v>7</v>
      </c>
      <c r="E2122" s="3" t="s">
        <v>16</v>
      </c>
    </row>
    <row r="2123" spans="1:5" x14ac:dyDescent="0.25">
      <c r="A2123" s="6">
        <v>2122</v>
      </c>
      <c r="B2123" s="6" t="str">
        <f>HYPERLINK("https://www.kmpharma.in/product/29947","Sapropterin Nitroso Impurity 5")</f>
        <v>Sapropterin Nitroso Impurity 5</v>
      </c>
      <c r="C2123" s="6" t="str">
        <f>HYPERLINK("https://www.kmpharma.in/product/29947","KMS026047")</f>
        <v>KMS026047</v>
      </c>
      <c r="D2123" s="6" t="s">
        <v>7</v>
      </c>
      <c r="E2123" s="7" t="s">
        <v>322</v>
      </c>
    </row>
    <row r="2124" spans="1:5" x14ac:dyDescent="0.25">
      <c r="A2124" s="3">
        <v>2123</v>
      </c>
      <c r="B2124" s="3" t="str">
        <f>HYPERLINK("https://www.kmpharma.in/product/29948","Sapropterin Nitroso Impurity 6")</f>
        <v>Sapropterin Nitroso Impurity 6</v>
      </c>
      <c r="C2124" s="3" t="str">
        <f>HYPERLINK("https://www.kmpharma.in/product/29948","KMS026048")</f>
        <v>KMS026048</v>
      </c>
      <c r="D2124" s="3" t="s">
        <v>7</v>
      </c>
      <c r="E2124" s="5" t="s">
        <v>321</v>
      </c>
    </row>
    <row r="2125" spans="1:5" x14ac:dyDescent="0.25">
      <c r="A2125" s="6">
        <v>2124</v>
      </c>
      <c r="B2125" s="6" t="str">
        <f>HYPERLINK("https://www.kmpharma.in/product/29940","Sapropterin Nitroso Impurity 7")</f>
        <v>Sapropterin Nitroso Impurity 7</v>
      </c>
      <c r="C2125" s="6" t="str">
        <f>HYPERLINK("https://www.kmpharma.in/product/29940","KMS026049")</f>
        <v>KMS026049</v>
      </c>
      <c r="D2125" s="6" t="s">
        <v>7</v>
      </c>
      <c r="E2125" s="7" t="s">
        <v>322</v>
      </c>
    </row>
    <row r="2126" spans="1:5" x14ac:dyDescent="0.25">
      <c r="A2126" s="3">
        <v>2125</v>
      </c>
      <c r="B2126" s="3" t="str">
        <f>HYPERLINK("https://www.kmpharma.in/product/29941","Sapropterin Nitroso Impurity 8")</f>
        <v>Sapropterin Nitroso Impurity 8</v>
      </c>
      <c r="C2126" s="3" t="str">
        <f>HYPERLINK("https://www.kmpharma.in/product/29941","KMS026050")</f>
        <v>KMS026050</v>
      </c>
      <c r="D2126" s="3" t="s">
        <v>7</v>
      </c>
      <c r="E2126" s="3" t="s">
        <v>16</v>
      </c>
    </row>
    <row r="2127" spans="1:5" x14ac:dyDescent="0.25">
      <c r="A2127" s="6">
        <v>2126</v>
      </c>
      <c r="B2127" s="6" t="str">
        <f>HYPERLINK("https://www.kmpharma.in/product/29939","Sapropterin Nitroso Impurity 9")</f>
        <v>Sapropterin Nitroso Impurity 9</v>
      </c>
      <c r="C2127" s="6" t="str">
        <f>HYPERLINK("https://www.kmpharma.in/product/29939","KMS026051")</f>
        <v>KMS026051</v>
      </c>
      <c r="D2127" s="6" t="s">
        <v>7</v>
      </c>
      <c r="E2127" s="7" t="s">
        <v>321</v>
      </c>
    </row>
    <row r="2128" spans="1:5" x14ac:dyDescent="0.25">
      <c r="A2128" s="3">
        <v>2127</v>
      </c>
      <c r="B2128" s="3" t="str">
        <f>HYPERLINK("https://www.kmpharma.in/product/30069","Saxagliptin Nitroso Impurity 3")</f>
        <v>Saxagliptin Nitroso Impurity 3</v>
      </c>
      <c r="C2128" s="3" t="str">
        <f>HYPERLINK("https://www.kmpharma.in/product/30069","KMS007097")</f>
        <v>KMS007097</v>
      </c>
      <c r="D2128" s="3" t="s">
        <v>7</v>
      </c>
      <c r="E2128" s="5" t="s">
        <v>321</v>
      </c>
    </row>
    <row r="2129" spans="1:5" x14ac:dyDescent="0.25">
      <c r="A2129" s="6">
        <v>2128</v>
      </c>
      <c r="B2129" s="6" t="str">
        <f>HYPERLINK("https://www.kmpharma.in/product/30073","Saxagliptin Nitroso Impurity 4")</f>
        <v>Saxagliptin Nitroso Impurity 4</v>
      </c>
      <c r="C2129" s="6" t="str">
        <f>HYPERLINK("https://www.kmpharma.in/product/30073","KMS007098")</f>
        <v>KMS007098</v>
      </c>
      <c r="D2129" s="6" t="s">
        <v>7</v>
      </c>
      <c r="E2129" s="7" t="s">
        <v>323</v>
      </c>
    </row>
    <row r="2130" spans="1:5" x14ac:dyDescent="0.25">
      <c r="A2130" s="3">
        <v>2129</v>
      </c>
      <c r="B2130" s="3" t="str">
        <f>HYPERLINK("https://www.kmpharma.in/product/30070","Saxagliptin Nitroso Impurity 5")</f>
        <v>Saxagliptin Nitroso Impurity 5</v>
      </c>
      <c r="C2130" s="3" t="str">
        <f>HYPERLINK("https://www.kmpharma.in/product/30070","KMS007099")</f>
        <v>KMS007099</v>
      </c>
      <c r="D2130" s="3" t="s">
        <v>7</v>
      </c>
      <c r="E2130" s="3" t="s">
        <v>16</v>
      </c>
    </row>
    <row r="2131" spans="1:5" x14ac:dyDescent="0.25">
      <c r="A2131" s="6">
        <v>2130</v>
      </c>
      <c r="B2131" s="6" t="str">
        <f>HYPERLINK("https://www.kmpharma.in/product/30136","Selexipag Nitroso Impurity 1")</f>
        <v>Selexipag Nitroso Impurity 1</v>
      </c>
      <c r="C2131" s="6" t="str">
        <f>HYPERLINK("https://www.kmpharma.in/product/30136","KMS040026")</f>
        <v>KMS040026</v>
      </c>
      <c r="D2131" s="6" t="s">
        <v>7</v>
      </c>
      <c r="E2131" s="6" t="s">
        <v>16</v>
      </c>
    </row>
    <row r="2132" spans="1:5" x14ac:dyDescent="0.25">
      <c r="A2132" s="3">
        <v>2131</v>
      </c>
      <c r="B2132" s="3" t="str">
        <f>HYPERLINK("https://www.kmpharma.in/product/30137","Selexipag Nitroso Impurity 2")</f>
        <v>Selexipag Nitroso Impurity 2</v>
      </c>
      <c r="C2132" s="3" t="str">
        <f>HYPERLINK("https://www.kmpharma.in/product/30137","KMS040027")</f>
        <v>KMS040027</v>
      </c>
      <c r="D2132" s="3" t="s">
        <v>7</v>
      </c>
      <c r="E2132" s="5" t="s">
        <v>323</v>
      </c>
    </row>
    <row r="2133" spans="1:5" x14ac:dyDescent="0.25">
      <c r="A2133" s="6">
        <v>2132</v>
      </c>
      <c r="B2133" s="6" t="str">
        <f>HYPERLINK("https://www.kmpharma.in/product/30138","Selexipag Nitroso Impurity 3")</f>
        <v>Selexipag Nitroso Impurity 3</v>
      </c>
      <c r="C2133" s="6" t="str">
        <f>HYPERLINK("https://www.kmpharma.in/product/30138","KMS040028")</f>
        <v>KMS040028</v>
      </c>
      <c r="D2133" s="6" t="s">
        <v>7</v>
      </c>
      <c r="E2133" s="7" t="s">
        <v>321</v>
      </c>
    </row>
    <row r="2134" spans="1:5" x14ac:dyDescent="0.25">
      <c r="A2134" s="3">
        <v>2133</v>
      </c>
      <c r="B2134" s="3" t="str">
        <f>HYPERLINK("https://www.kmpharma.in/product/30152","Selinexor Nitroso Impurity 1")</f>
        <v>Selinexor Nitroso Impurity 1</v>
      </c>
      <c r="C2134" s="3" t="str">
        <f>HYPERLINK("https://www.kmpharma.in/product/30152","KMS041014")</f>
        <v>KMS041014</v>
      </c>
      <c r="D2134" s="3" t="s">
        <v>7</v>
      </c>
      <c r="E2134" s="5" t="s">
        <v>321</v>
      </c>
    </row>
    <row r="2135" spans="1:5" x14ac:dyDescent="0.25">
      <c r="A2135" s="6">
        <v>2134</v>
      </c>
      <c r="B2135" s="6" t="str">
        <f>HYPERLINK("https://www.kmpharma.in/product/30193","Selpercatinib Nitroso Impurity 1")</f>
        <v>Selpercatinib Nitroso Impurity 1</v>
      </c>
      <c r="C2135" s="6" t="str">
        <f>HYPERLINK("https://www.kmpharma.in/product/30193","KMS042041")</f>
        <v>KMS042041</v>
      </c>
      <c r="D2135" s="6" t="s">
        <v>7</v>
      </c>
      <c r="E2135" s="7" t="s">
        <v>323</v>
      </c>
    </row>
    <row r="2136" spans="1:5" x14ac:dyDescent="0.25">
      <c r="A2136" s="3">
        <v>2135</v>
      </c>
      <c r="B2136" s="3" t="str">
        <f>HYPERLINK("https://www.kmpharma.in/product/30220","Selumetinib Nitroso Impurity 1")</f>
        <v>Selumetinib Nitroso Impurity 1</v>
      </c>
      <c r="C2136" s="3" t="str">
        <f>HYPERLINK("https://www.kmpharma.in/product/30220","KMS044026")</f>
        <v>KMS044026</v>
      </c>
      <c r="D2136" s="3" t="s">
        <v>7</v>
      </c>
      <c r="E2136" s="5" t="s">
        <v>321</v>
      </c>
    </row>
    <row r="2137" spans="1:5" x14ac:dyDescent="0.25">
      <c r="A2137" s="6">
        <v>2136</v>
      </c>
      <c r="B2137" s="6" t="str">
        <f>HYPERLINK("https://www.kmpharma.in/product/30221","Selumetinib Nitroso Impurity 2")</f>
        <v>Selumetinib Nitroso Impurity 2</v>
      </c>
      <c r="C2137" s="6" t="str">
        <f>HYPERLINK("https://www.kmpharma.in/product/30221","KMS044027")</f>
        <v>KMS044027</v>
      </c>
      <c r="D2137" s="6" t="s">
        <v>7</v>
      </c>
      <c r="E2137" s="6" t="s">
        <v>16</v>
      </c>
    </row>
    <row r="2138" spans="1:5" x14ac:dyDescent="0.25">
      <c r="A2138" s="3">
        <v>2137</v>
      </c>
      <c r="B2138" s="3" t="str">
        <f>HYPERLINK("https://www.kmpharma.in/product/30222","Selumetinib Nitroso Impurity 3")</f>
        <v>Selumetinib Nitroso Impurity 3</v>
      </c>
      <c r="C2138" s="3" t="str">
        <f>HYPERLINK("https://www.kmpharma.in/product/30222","KMS044028")</f>
        <v>KMS044028</v>
      </c>
      <c r="D2138" s="3" t="s">
        <v>7</v>
      </c>
      <c r="E2138" s="5" t="s">
        <v>322</v>
      </c>
    </row>
    <row r="2139" spans="1:5" x14ac:dyDescent="0.25">
      <c r="A2139" s="6">
        <v>2138</v>
      </c>
      <c r="B2139" s="6" t="str">
        <f>HYPERLINK("https://www.kmpharma.in/product/30223","Selumetinib Nitroso Impurity 4")</f>
        <v>Selumetinib Nitroso Impurity 4</v>
      </c>
      <c r="C2139" s="6" t="str">
        <f>HYPERLINK("https://www.kmpharma.in/product/30223","KMS044029")</f>
        <v>KMS044029</v>
      </c>
      <c r="D2139" s="6" t="s">
        <v>7</v>
      </c>
      <c r="E2139" s="7" t="s">
        <v>321</v>
      </c>
    </row>
    <row r="2140" spans="1:5" x14ac:dyDescent="0.25">
      <c r="A2140" s="3">
        <v>2139</v>
      </c>
      <c r="B2140" s="3" t="str">
        <f>HYPERLINK("https://www.kmpharma.in/product/30224","Selumetinib Nitroso Impurity 5")</f>
        <v>Selumetinib Nitroso Impurity 5</v>
      </c>
      <c r="C2140" s="3" t="str">
        <f>HYPERLINK("https://www.kmpharma.in/product/30224","KMS044030")</f>
        <v>KMS044030</v>
      </c>
      <c r="D2140" s="3" t="s">
        <v>7</v>
      </c>
      <c r="E2140" s="5" t="s">
        <v>323</v>
      </c>
    </row>
    <row r="2141" spans="1:5" x14ac:dyDescent="0.25">
      <c r="A2141" s="6">
        <v>2140</v>
      </c>
      <c r="B2141" s="6" t="str">
        <f>HYPERLINK("https://www.kmpharma.in/product/441","Sertraline Nitroso Impurity")</f>
        <v>Sertraline Nitroso Impurity</v>
      </c>
      <c r="C2141" s="6" t="str">
        <f>HYPERLINK("https://www.kmpharma.in/product/441","KMS003002")</f>
        <v>KMS003002</v>
      </c>
      <c r="D2141" s="6" t="s">
        <v>35</v>
      </c>
      <c r="E2141" s="7" t="s">
        <v>323</v>
      </c>
    </row>
    <row r="2142" spans="1:5" x14ac:dyDescent="0.25">
      <c r="A2142" s="3">
        <v>2141</v>
      </c>
      <c r="B2142" s="3" t="str">
        <f>HYPERLINK("https://www.kmpharma.in/product/34836","Sertraline Nitroso Impurity")</f>
        <v>Sertraline Nitroso Impurity</v>
      </c>
      <c r="C2142" s="3" t="str">
        <f>HYPERLINK("https://www.kmpharma.in/product/34836","KMS003056")</f>
        <v>KMS003056</v>
      </c>
      <c r="D2142" s="3" t="s">
        <v>7</v>
      </c>
      <c r="E2142" s="5" t="s">
        <v>323</v>
      </c>
    </row>
    <row r="2143" spans="1:5" x14ac:dyDescent="0.25">
      <c r="A2143" s="6">
        <v>2142</v>
      </c>
      <c r="B2143" s="6" t="str">
        <f>HYPERLINK("https://www.kmpharma.in/product/194","Silodosin Nitroso Impurity")</f>
        <v>Silodosin Nitroso Impurity</v>
      </c>
      <c r="C2143" s="6" t="str">
        <f>HYPERLINK("https://www.kmpharma.in/product/194","KMS004001")</f>
        <v>KMS004001</v>
      </c>
      <c r="D2143" s="6" t="s">
        <v>35</v>
      </c>
      <c r="E2143" s="7" t="s">
        <v>323</v>
      </c>
    </row>
    <row r="2144" spans="1:5" x14ac:dyDescent="0.25">
      <c r="A2144" s="3">
        <v>2143</v>
      </c>
      <c r="B2144" s="3" t="str">
        <f>HYPERLINK("https://www.kmpharma.in/product/30678","Siponimod Nitroso Impurity 1")</f>
        <v>Siponimod Nitroso Impurity 1</v>
      </c>
      <c r="C2144" s="3" t="str">
        <f>HYPERLINK("https://www.kmpharma.in/product/30678","KMS061071")</f>
        <v>KMS061071</v>
      </c>
      <c r="D2144" s="3" t="s">
        <v>7</v>
      </c>
      <c r="E2144" s="5" t="s">
        <v>323</v>
      </c>
    </row>
    <row r="2145" spans="1:5" x14ac:dyDescent="0.25">
      <c r="A2145" s="6">
        <v>2144</v>
      </c>
      <c r="B2145" s="6" t="str">
        <f>HYPERLINK("https://www.kmpharma.in/product/30679","Siponimod Nitroso Impurity 2")</f>
        <v>Siponimod Nitroso Impurity 2</v>
      </c>
      <c r="C2145" s="6" t="str">
        <f>HYPERLINK("https://www.kmpharma.in/product/30679","KMS061072")</f>
        <v>KMS061072</v>
      </c>
      <c r="D2145" s="6" t="s">
        <v>7</v>
      </c>
      <c r="E2145" s="7" t="s">
        <v>321</v>
      </c>
    </row>
    <row r="2146" spans="1:5" x14ac:dyDescent="0.25">
      <c r="A2146" s="3">
        <v>2145</v>
      </c>
      <c r="B2146" s="3" t="str">
        <f>HYPERLINK("https://www.kmpharma.in/product/30843","Sitagliptin Nitroso Impurity 1")</f>
        <v>Sitagliptin Nitroso Impurity 1</v>
      </c>
      <c r="C2146" s="3" t="str">
        <f>HYPERLINK("https://www.kmpharma.in/product/30843","KMS010156")</f>
        <v>KMS010156</v>
      </c>
      <c r="D2146" s="3" t="s">
        <v>7</v>
      </c>
      <c r="E2146" s="5" t="s">
        <v>321</v>
      </c>
    </row>
    <row r="2147" spans="1:5" x14ac:dyDescent="0.25">
      <c r="A2147" s="6">
        <v>2146</v>
      </c>
      <c r="B2147" s="6" t="str">
        <f>HYPERLINK("https://www.kmpharma.in/product/30844","Sitagliptin Nitroso Impurity 2")</f>
        <v>Sitagliptin Nitroso Impurity 2</v>
      </c>
      <c r="C2147" s="6" t="str">
        <f>HYPERLINK("https://www.kmpharma.in/product/30844","KMS010157")</f>
        <v>KMS010157</v>
      </c>
      <c r="D2147" s="6" t="s">
        <v>7</v>
      </c>
      <c r="E2147" s="7" t="s">
        <v>321</v>
      </c>
    </row>
    <row r="2148" spans="1:5" x14ac:dyDescent="0.25">
      <c r="A2148" s="3">
        <v>2147</v>
      </c>
      <c r="B2148" s="3" t="str">
        <f>HYPERLINK("https://www.kmpharma.in/product/30828","Sitagliptin Nitroso Impurity 3")</f>
        <v>Sitagliptin Nitroso Impurity 3</v>
      </c>
      <c r="C2148" s="3" t="str">
        <f>HYPERLINK("https://www.kmpharma.in/product/30828","KMS010158")</f>
        <v>KMS010158</v>
      </c>
      <c r="D2148" s="3" t="s">
        <v>7</v>
      </c>
      <c r="E2148" s="3" t="s">
        <v>16</v>
      </c>
    </row>
    <row r="2149" spans="1:5" x14ac:dyDescent="0.25">
      <c r="A2149" s="6">
        <v>2148</v>
      </c>
      <c r="B2149" s="6" t="str">
        <f>HYPERLINK("https://www.kmpharma.in/product/30845","Sitagliptin Nitroso Impurity 4")</f>
        <v>Sitagliptin Nitroso Impurity 4</v>
      </c>
      <c r="C2149" s="6" t="str">
        <f>HYPERLINK("https://www.kmpharma.in/product/30845","KMS010159")</f>
        <v>KMS010159</v>
      </c>
      <c r="D2149" s="6" t="s">
        <v>7</v>
      </c>
      <c r="E2149" s="6" t="s">
        <v>16</v>
      </c>
    </row>
    <row r="2150" spans="1:5" x14ac:dyDescent="0.25">
      <c r="A2150" s="3">
        <v>2149</v>
      </c>
      <c r="B2150" s="3" t="str">
        <f>HYPERLINK("https://www.kmpharma.in/product/31062","Solifenacin EP Impurity A Nitroso Impurity")</f>
        <v>Solifenacin EP Impurity A Nitroso Impurity</v>
      </c>
      <c r="C2150" s="3" t="str">
        <f>HYPERLINK("https://www.kmpharma.in/product/31062","KMS005012")</f>
        <v>KMS005012</v>
      </c>
      <c r="D2150" s="3" t="s">
        <v>7</v>
      </c>
      <c r="E2150" s="5" t="s">
        <v>323</v>
      </c>
    </row>
    <row r="2151" spans="1:5" x14ac:dyDescent="0.25">
      <c r="A2151" s="6">
        <v>2150</v>
      </c>
      <c r="B2151" s="6" t="str">
        <f>HYPERLINK("https://www.kmpharma.in/product/31195","Sotorasib Nitroso Impurity 1")</f>
        <v>Sotorasib Nitroso Impurity 1</v>
      </c>
      <c r="C2151" s="6" t="str">
        <f>HYPERLINK("https://www.kmpharma.in/product/31195","KMS078007")</f>
        <v>KMS078007</v>
      </c>
      <c r="D2151" s="6" t="s">
        <v>7</v>
      </c>
      <c r="E2151" s="7" t="s">
        <v>321</v>
      </c>
    </row>
    <row r="2152" spans="1:5" x14ac:dyDescent="0.25">
      <c r="A2152" s="3">
        <v>2151</v>
      </c>
      <c r="B2152" s="3" t="str">
        <f>HYPERLINK("https://www.kmpharma.in/product/31194","Sotorasib Nitroso Impurity 2")</f>
        <v>Sotorasib Nitroso Impurity 2</v>
      </c>
      <c r="C2152" s="3" t="str">
        <f>HYPERLINK("https://www.kmpharma.in/product/31194","KMS078008")</f>
        <v>KMS078008</v>
      </c>
      <c r="D2152" s="3" t="s">
        <v>7</v>
      </c>
      <c r="E2152" s="5" t="s">
        <v>321</v>
      </c>
    </row>
    <row r="2153" spans="1:5" x14ac:dyDescent="0.25">
      <c r="A2153" s="6">
        <v>2152</v>
      </c>
      <c r="B2153" s="6" t="str">
        <f>HYPERLINK("https://www.kmpharma.in/product/31197","Sparfloxacin Nitroso Impurity 1")</f>
        <v>Sparfloxacin Nitroso Impurity 1</v>
      </c>
      <c r="C2153" s="6" t="str">
        <f>HYPERLINK("https://www.kmpharma.in/product/31197","KMS079002")</f>
        <v>KMS079002</v>
      </c>
      <c r="D2153" s="6" t="s">
        <v>7</v>
      </c>
      <c r="E2153" s="7" t="s">
        <v>321</v>
      </c>
    </row>
    <row r="2154" spans="1:5" x14ac:dyDescent="0.25">
      <c r="A2154" s="3">
        <v>2153</v>
      </c>
      <c r="B2154" s="3" t="str">
        <f>HYPERLINK("https://www.kmpharma.in/product/31321","Succinylcholine Nitroso Impurity 2")</f>
        <v>Succinylcholine Nitroso Impurity 2</v>
      </c>
      <c r="C2154" s="3" t="str">
        <f>HYPERLINK("https://www.kmpharma.in/product/31321","KMS091003")</f>
        <v>KMS091003</v>
      </c>
      <c r="D2154" s="3" t="s">
        <v>7</v>
      </c>
      <c r="E2154" s="5" t="s">
        <v>321</v>
      </c>
    </row>
    <row r="2155" spans="1:5" x14ac:dyDescent="0.25">
      <c r="A2155" s="6">
        <v>2154</v>
      </c>
      <c r="B2155" s="6" t="str">
        <f>HYPERLINK("https://www.kmpharma.in/product/31433","Sugammadex Nitroso Impurity 1")</f>
        <v>Sugammadex Nitroso Impurity 1</v>
      </c>
      <c r="C2155" s="6" t="str">
        <f>HYPERLINK("https://www.kmpharma.in/product/31433","KMS095080")</f>
        <v>KMS095080</v>
      </c>
      <c r="D2155" s="6" t="s">
        <v>7</v>
      </c>
      <c r="E2155" s="7" t="s">
        <v>322</v>
      </c>
    </row>
    <row r="2156" spans="1:5" x14ac:dyDescent="0.25">
      <c r="A2156" s="3">
        <v>2155</v>
      </c>
      <c r="B2156" s="3" t="str">
        <f>HYPERLINK("https://www.kmpharma.in/product/31500","Sulfamethoxazole Nitroso Impurity 1")</f>
        <v>Sulfamethoxazole Nitroso Impurity 1</v>
      </c>
      <c r="C2156" s="3" t="str">
        <f>HYPERLINK("https://www.kmpharma.in/product/31500","KMS015016")</f>
        <v>KMS015016</v>
      </c>
      <c r="D2156" s="3" t="s">
        <v>7</v>
      </c>
      <c r="E2156" s="5" t="s">
        <v>321</v>
      </c>
    </row>
    <row r="2157" spans="1:5" x14ac:dyDescent="0.25">
      <c r="A2157" s="6">
        <v>2156</v>
      </c>
      <c r="B2157" s="6" t="str">
        <f>HYPERLINK("https://www.kmpharma.in/product/31499","Sulfamethoxazole Nitroso Impurity 2")</f>
        <v>Sulfamethoxazole Nitroso Impurity 2</v>
      </c>
      <c r="C2157" s="6" t="str">
        <f>HYPERLINK("https://www.kmpharma.in/product/31499","KMS015017")</f>
        <v>KMS015017</v>
      </c>
      <c r="D2157" s="6" t="s">
        <v>307</v>
      </c>
      <c r="E2157" s="7" t="s">
        <v>321</v>
      </c>
    </row>
    <row r="2158" spans="1:5" x14ac:dyDescent="0.25">
      <c r="A2158" s="3">
        <v>2157</v>
      </c>
      <c r="B2158" s="3" t="str">
        <f>HYPERLINK("https://www.kmpharma.in/product/31543","Sulpiride Nitroso Impurity 1")</f>
        <v>Sulpiride Nitroso Impurity 1</v>
      </c>
      <c r="C2158" s="3" t="str">
        <f>HYPERLINK("https://www.kmpharma.in/product/31543","KMS110013")</f>
        <v>KMS110013</v>
      </c>
      <c r="D2158" s="3" t="s">
        <v>7</v>
      </c>
      <c r="E2158" s="5" t="s">
        <v>321</v>
      </c>
    </row>
    <row r="2159" spans="1:5" x14ac:dyDescent="0.25">
      <c r="A2159" s="6">
        <v>2158</v>
      </c>
      <c r="B2159" s="6" t="str">
        <f>HYPERLINK("https://www.kmpharma.in/product/266","Sumatriptan Nitroso Impurity")</f>
        <v>Sumatriptan Nitroso Impurity</v>
      </c>
      <c r="C2159" s="6" t="str">
        <f>HYPERLINK("https://www.kmpharma.in/product/266","KMS006001")</f>
        <v>KMS006001</v>
      </c>
      <c r="D2159" s="6" t="s">
        <v>35</v>
      </c>
      <c r="E2159" s="7" t="s">
        <v>321</v>
      </c>
    </row>
    <row r="2160" spans="1:5" x14ac:dyDescent="0.25">
      <c r="A2160" s="3">
        <v>2159</v>
      </c>
      <c r="B2160" s="3" t="str">
        <f>HYPERLINK("https://www.kmpharma.in/product/34851","Sumatriptan Nitroso Impurity")</f>
        <v>Sumatriptan Nitroso Impurity</v>
      </c>
      <c r="C2160" s="3" t="str">
        <f>HYPERLINK("https://www.kmpharma.in/product/34851","KMS006047")</f>
        <v>KMS006047</v>
      </c>
      <c r="D2160" s="3" t="s">
        <v>7</v>
      </c>
      <c r="E2160" s="5" t="s">
        <v>323</v>
      </c>
    </row>
    <row r="2161" spans="1:5" x14ac:dyDescent="0.25">
      <c r="A2161" s="6">
        <v>2160</v>
      </c>
      <c r="B2161" s="6" t="str">
        <f>HYPERLINK("https://www.kmpharma.in/product/31604","Sumatriptan Nitroso Impurity 1")</f>
        <v>Sumatriptan Nitroso Impurity 1</v>
      </c>
      <c r="C2161" s="6" t="str">
        <f>HYPERLINK("https://www.kmpharma.in/product/31604","KMS006048")</f>
        <v>KMS006048</v>
      </c>
      <c r="D2161" s="6" t="s">
        <v>7</v>
      </c>
      <c r="E2161" s="7" t="s">
        <v>323</v>
      </c>
    </row>
    <row r="2162" spans="1:5" x14ac:dyDescent="0.25">
      <c r="A2162" s="3">
        <v>2161</v>
      </c>
      <c r="B2162" s="3" t="str">
        <f>HYPERLINK("https://www.kmpharma.in/product/31605","Sumatriptan Nitroso Impurity 2")</f>
        <v>Sumatriptan Nitroso Impurity 2</v>
      </c>
      <c r="C2162" s="3" t="str">
        <f>HYPERLINK("https://www.kmpharma.in/product/31605","KMS006049")</f>
        <v>KMS006049</v>
      </c>
      <c r="D2162" s="3" t="s">
        <v>7</v>
      </c>
      <c r="E2162" s="5" t="s">
        <v>323</v>
      </c>
    </row>
    <row r="2163" spans="1:5" x14ac:dyDescent="0.25">
      <c r="A2163" s="6">
        <v>2162</v>
      </c>
      <c r="B2163" s="6" t="str">
        <f>HYPERLINK("https://www.kmpharma.in/product/31650","Sunitinib Nitroso Impurity 1")</f>
        <v>Sunitinib Nitroso Impurity 1</v>
      </c>
      <c r="C2163" s="6" t="str">
        <f>HYPERLINK("https://www.kmpharma.in/product/31650","KMS011044")</f>
        <v>KMS011044</v>
      </c>
      <c r="D2163" s="6" t="s">
        <v>7</v>
      </c>
      <c r="E2163" s="6" t="s">
        <v>16</v>
      </c>
    </row>
    <row r="2164" spans="1:5" x14ac:dyDescent="0.25">
      <c r="A2164" s="3">
        <v>2163</v>
      </c>
      <c r="B2164" s="3" t="str">
        <f>HYPERLINK("https://www.kmpharma.in/product/31651","Sunitinib Nitroso Impurity 2")</f>
        <v>Sunitinib Nitroso Impurity 2</v>
      </c>
      <c r="C2164" s="3" t="str">
        <f>HYPERLINK("https://www.kmpharma.in/product/31651","KMS011045")</f>
        <v>KMS011045</v>
      </c>
      <c r="D2164" s="3" t="s">
        <v>7</v>
      </c>
      <c r="E2164" s="5" t="s">
        <v>321</v>
      </c>
    </row>
    <row r="2165" spans="1:5" x14ac:dyDescent="0.25">
      <c r="A2165" s="6">
        <v>2164</v>
      </c>
      <c r="B2165" s="6" t="str">
        <f>HYPERLINK("https://www.kmpharma.in/product/31652","Sunitinib Nitroso Impurity 3")</f>
        <v>Sunitinib Nitroso Impurity 3</v>
      </c>
      <c r="C2165" s="6" t="str">
        <f>HYPERLINK("https://www.kmpharma.in/product/31652","KMS011046")</f>
        <v>KMS011046</v>
      </c>
      <c r="D2165" s="6" t="s">
        <v>7</v>
      </c>
      <c r="E2165" s="7" t="s">
        <v>321</v>
      </c>
    </row>
    <row r="2166" spans="1:5" x14ac:dyDescent="0.25">
      <c r="A2166" s="3">
        <v>2165</v>
      </c>
      <c r="B2166" s="3" t="str">
        <f>HYPERLINK("https://www.kmpharma.in/product/31643","Sunitinib Nitroso Impurity 4")</f>
        <v>Sunitinib Nitroso Impurity 4</v>
      </c>
      <c r="C2166" s="3" t="str">
        <f>HYPERLINK("https://www.kmpharma.in/product/31643","KMS011047")</f>
        <v>KMS011047</v>
      </c>
      <c r="D2166" s="3" t="s">
        <v>7</v>
      </c>
      <c r="E2166" s="5" t="s">
        <v>321</v>
      </c>
    </row>
    <row r="2167" spans="1:5" x14ac:dyDescent="0.25">
      <c r="A2167" s="6">
        <v>2166</v>
      </c>
      <c r="B2167" s="6" t="str">
        <f>HYPERLINK("https://www.kmpharma.in/product/31685","Suvorexant Nitroso Impurity 1")</f>
        <v>Suvorexant Nitroso Impurity 1</v>
      </c>
      <c r="C2167" s="6" t="str">
        <f>HYPERLINK("https://www.kmpharma.in/product/31685","KMS113031")</f>
        <v>KMS113031</v>
      </c>
      <c r="D2167" s="6" t="s">
        <v>7</v>
      </c>
      <c r="E2167" s="6" t="s">
        <v>16</v>
      </c>
    </row>
    <row r="2168" spans="1:5" x14ac:dyDescent="0.25">
      <c r="A2168" s="3">
        <v>2167</v>
      </c>
      <c r="B2168" s="3" t="str">
        <f>HYPERLINK("https://www.kmpharma.in/product/31686","Suvorexant Nitroso Impurity 2")</f>
        <v>Suvorexant Nitroso Impurity 2</v>
      </c>
      <c r="C2168" s="3" t="str">
        <f>HYPERLINK("https://www.kmpharma.in/product/31686","KMS113032")</f>
        <v>KMS113032</v>
      </c>
      <c r="D2168" s="3" t="s">
        <v>7</v>
      </c>
      <c r="E2168" s="5" t="s">
        <v>323</v>
      </c>
    </row>
    <row r="2169" spans="1:5" x14ac:dyDescent="0.25">
      <c r="A2169" s="6">
        <v>2168</v>
      </c>
      <c r="B2169" s="6" t="str">
        <f>HYPERLINK("https://www.kmpharma.in/product/31727","Tacrolimus 21-Carboxylic Acid Nitroso Impurity")</f>
        <v>Tacrolimus 21-Carboxylic Acid Nitroso Impurity</v>
      </c>
      <c r="C2169" s="6" t="str">
        <f>HYPERLINK("https://www.kmpharma.in/product/31727","KMT007005")</f>
        <v>KMT007005</v>
      </c>
      <c r="D2169" s="6" t="s">
        <v>7</v>
      </c>
      <c r="E2169" s="7" t="s">
        <v>321</v>
      </c>
    </row>
    <row r="2170" spans="1:5" x14ac:dyDescent="0.25">
      <c r="A2170" s="3">
        <v>2169</v>
      </c>
      <c r="B2170" s="3" t="str">
        <f>HYPERLINK("https://www.kmpharma.in/product/31778","Tadalafil Nitroso Impurity 2")</f>
        <v>Tadalafil Nitroso Impurity 2</v>
      </c>
      <c r="C2170" s="3" t="str">
        <f>HYPERLINK("https://www.kmpharma.in/product/31778","KMT020052")</f>
        <v>KMT020052</v>
      </c>
      <c r="D2170" s="3" t="s">
        <v>7</v>
      </c>
      <c r="E2170" s="5" t="s">
        <v>321</v>
      </c>
    </row>
    <row r="2171" spans="1:5" x14ac:dyDescent="0.25">
      <c r="A2171" s="6">
        <v>2170</v>
      </c>
      <c r="B2171" s="6" t="str">
        <f>HYPERLINK("https://www.kmpharma.in/product/31779","Tadalafil Nitroso Impurity 3")</f>
        <v>Tadalafil Nitroso Impurity 3</v>
      </c>
      <c r="C2171" s="6" t="str">
        <f>HYPERLINK("https://www.kmpharma.in/product/31779","KMT020053")</f>
        <v>KMT020053</v>
      </c>
      <c r="D2171" s="6" t="s">
        <v>7</v>
      </c>
      <c r="E2171" s="7" t="s">
        <v>321</v>
      </c>
    </row>
    <row r="2172" spans="1:5" x14ac:dyDescent="0.25">
      <c r="A2172" s="3">
        <v>2171</v>
      </c>
      <c r="B2172" s="3" t="str">
        <f>HYPERLINK("https://www.kmpharma.in/product/31775","Tadalafil Nitroso Impurity 4")</f>
        <v>Tadalafil Nitroso Impurity 4</v>
      </c>
      <c r="C2172" s="3" t="str">
        <f>HYPERLINK("https://www.kmpharma.in/product/31775","KMT020054")</f>
        <v>KMT020054</v>
      </c>
      <c r="D2172" s="3" t="s">
        <v>7</v>
      </c>
      <c r="E2172" s="5" t="s">
        <v>321</v>
      </c>
    </row>
    <row r="2173" spans="1:5" x14ac:dyDescent="0.25">
      <c r="A2173" s="6">
        <v>2172</v>
      </c>
      <c r="B2173" s="6" t="str">
        <f>HYPERLINK("https://www.kmpharma.in/product/31780","Tadalafil Nitroso Impurity 5")</f>
        <v>Tadalafil Nitroso Impurity 5</v>
      </c>
      <c r="C2173" s="6" t="str">
        <f>HYPERLINK("https://www.kmpharma.in/product/31780","KMT020055")</f>
        <v>KMT020055</v>
      </c>
      <c r="D2173" s="6" t="s">
        <v>7</v>
      </c>
      <c r="E2173" s="7" t="s">
        <v>323</v>
      </c>
    </row>
    <row r="2174" spans="1:5" x14ac:dyDescent="0.25">
      <c r="A2174" s="3">
        <v>2173</v>
      </c>
      <c r="B2174" s="3" t="str">
        <f>HYPERLINK("https://www.kmpharma.in/product/31810","Tafenoquine Phthalimido Nitroso Impurity")</f>
        <v>Tafenoquine Phthalimido Nitroso Impurity</v>
      </c>
      <c r="C2174" s="3" t="str">
        <f>HYPERLINK("https://www.kmpharma.in/product/31810","KMT030010")</f>
        <v>KMT030010</v>
      </c>
      <c r="D2174" s="3" t="s">
        <v>7</v>
      </c>
      <c r="E2174" s="5" t="s">
        <v>321</v>
      </c>
    </row>
    <row r="2175" spans="1:5" x14ac:dyDescent="0.25">
      <c r="A2175" s="6">
        <v>2174</v>
      </c>
      <c r="B2175" s="6" t="str">
        <f>HYPERLINK("https://www.kmpharma.in/product/31823","Talazoparib Nitroso Impurity 1")</f>
        <v>Talazoparib Nitroso Impurity 1</v>
      </c>
      <c r="C2175" s="6" t="str">
        <f>HYPERLINK("https://www.kmpharma.in/product/31823","KMT033002")</f>
        <v>KMT033002</v>
      </c>
      <c r="D2175" s="6" t="s">
        <v>7</v>
      </c>
      <c r="E2175" s="7" t="s">
        <v>321</v>
      </c>
    </row>
    <row r="2176" spans="1:5" x14ac:dyDescent="0.25">
      <c r="A2176" s="3">
        <v>2175</v>
      </c>
      <c r="B2176" s="3" t="str">
        <f>HYPERLINK("https://www.kmpharma.in/product/31948","Tapentadol Nitroso Impurity 1")</f>
        <v>Tapentadol Nitroso Impurity 1</v>
      </c>
      <c r="C2176" s="3" t="str">
        <f>HYPERLINK("https://www.kmpharma.in/product/31948","KMT037021")</f>
        <v>KMT037021</v>
      </c>
      <c r="D2176" s="3" t="s">
        <v>7</v>
      </c>
      <c r="E2176" s="5" t="s">
        <v>323</v>
      </c>
    </row>
    <row r="2177" spans="1:5" x14ac:dyDescent="0.25">
      <c r="A2177" s="6">
        <v>2176</v>
      </c>
      <c r="B2177" s="6" t="str">
        <f>HYPERLINK("https://www.kmpharma.in/product/31949","Tapentadol Nitroso Impurity 2")</f>
        <v>Tapentadol Nitroso Impurity 2</v>
      </c>
      <c r="C2177" s="6" t="str">
        <f>HYPERLINK("https://www.kmpharma.in/product/31949","KMT037022")</f>
        <v>KMT037022</v>
      </c>
      <c r="D2177" s="6" t="s">
        <v>7</v>
      </c>
      <c r="E2177" s="7" t="s">
        <v>323</v>
      </c>
    </row>
    <row r="2178" spans="1:5" x14ac:dyDescent="0.25">
      <c r="A2178" s="3">
        <v>2177</v>
      </c>
      <c r="B2178" s="3" t="str">
        <f>HYPERLINK("https://www.kmpharma.in/product/32109","Tegaserod Nitroso Impurity 1")</f>
        <v>Tegaserod Nitroso Impurity 1</v>
      </c>
      <c r="C2178" s="3" t="str">
        <f>HYPERLINK("https://www.kmpharma.in/product/32109","KMT057003")</f>
        <v>KMT057003</v>
      </c>
      <c r="D2178" s="3" t="s">
        <v>7</v>
      </c>
      <c r="E2178" s="3" t="s">
        <v>16</v>
      </c>
    </row>
    <row r="2179" spans="1:5" x14ac:dyDescent="0.25">
      <c r="A2179" s="6">
        <v>2178</v>
      </c>
      <c r="B2179" s="6" t="str">
        <f>HYPERLINK("https://www.kmpharma.in/product/32144","Tegoprazan Nitroso Impurity 1")</f>
        <v>Tegoprazan Nitroso Impurity 1</v>
      </c>
      <c r="C2179" s="6" t="str">
        <f>HYPERLINK("https://www.kmpharma.in/product/32144","KMT058035")</f>
        <v>KMT058035</v>
      </c>
      <c r="D2179" s="6" t="s">
        <v>7</v>
      </c>
      <c r="E2179" s="6" t="s">
        <v>16</v>
      </c>
    </row>
    <row r="2180" spans="1:5" x14ac:dyDescent="0.25">
      <c r="A2180" s="3">
        <v>2179</v>
      </c>
      <c r="B2180" s="3" t="str">
        <f>HYPERLINK("https://www.kmpharma.in/product/32145","Tegoprazan Nitroso Impurity 2")</f>
        <v>Tegoprazan Nitroso Impurity 2</v>
      </c>
      <c r="C2180" s="3" t="str">
        <f>HYPERLINK("https://www.kmpharma.in/product/32145","KMT058036")</f>
        <v>KMT058036</v>
      </c>
      <c r="D2180" s="3" t="s">
        <v>7</v>
      </c>
      <c r="E2180" s="5" t="s">
        <v>322</v>
      </c>
    </row>
    <row r="2181" spans="1:5" x14ac:dyDescent="0.25">
      <c r="A2181" s="6">
        <v>2180</v>
      </c>
      <c r="B2181" s="6" t="str">
        <f>HYPERLINK("https://www.kmpharma.in/product/32146","Tegoprazan Nitroso Impurity 3")</f>
        <v>Tegoprazan Nitroso Impurity 3</v>
      </c>
      <c r="C2181" s="6" t="str">
        <f>HYPERLINK("https://www.kmpharma.in/product/32146","KMT058037")</f>
        <v>KMT058037</v>
      </c>
      <c r="D2181" s="6" t="s">
        <v>7</v>
      </c>
      <c r="E2181" s="7" t="s">
        <v>321</v>
      </c>
    </row>
    <row r="2182" spans="1:5" x14ac:dyDescent="0.25">
      <c r="A2182" s="3">
        <v>2181</v>
      </c>
      <c r="B2182" s="3" t="str">
        <f>HYPERLINK("https://www.kmpharma.in/product/32159","Telavancin Nitroso Impurity 1")</f>
        <v>Telavancin Nitroso Impurity 1</v>
      </c>
      <c r="C2182" s="3" t="str">
        <f>HYPERLINK("https://www.kmpharma.in/product/32159","KMT061002")</f>
        <v>KMT061002</v>
      </c>
      <c r="D2182" s="3" t="s">
        <v>7</v>
      </c>
      <c r="E2182" s="5" t="s">
        <v>321</v>
      </c>
    </row>
    <row r="2183" spans="1:5" x14ac:dyDescent="0.25">
      <c r="A2183" s="6">
        <v>2182</v>
      </c>
      <c r="B2183" s="6" t="str">
        <f>HYPERLINK("https://www.kmpharma.in/product/32160","Telavancin Nitroso Impurity 2")</f>
        <v>Telavancin Nitroso Impurity 2</v>
      </c>
      <c r="C2183" s="6" t="str">
        <f>HYPERLINK("https://www.kmpharma.in/product/32160","KMT061003")</f>
        <v>KMT061003</v>
      </c>
      <c r="D2183" s="6" t="s">
        <v>7</v>
      </c>
      <c r="E2183" s="7" t="s">
        <v>321</v>
      </c>
    </row>
    <row r="2184" spans="1:5" x14ac:dyDescent="0.25">
      <c r="A2184" s="3">
        <v>2183</v>
      </c>
      <c r="B2184" s="3" t="str">
        <f>HYPERLINK("https://www.kmpharma.in/product/32161","Telavancin Nitroso Impurity 3")</f>
        <v>Telavancin Nitroso Impurity 3</v>
      </c>
      <c r="C2184" s="3" t="str">
        <f>HYPERLINK("https://www.kmpharma.in/product/32161","KMT061004")</f>
        <v>KMT061004</v>
      </c>
      <c r="D2184" s="3" t="s">
        <v>7</v>
      </c>
      <c r="E2184" s="5" t="s">
        <v>321</v>
      </c>
    </row>
    <row r="2185" spans="1:5" x14ac:dyDescent="0.25">
      <c r="A2185" s="6">
        <v>2184</v>
      </c>
      <c r="B2185" s="6" t="str">
        <f>HYPERLINK("https://www.kmpharma.in/product/32162","Telavancin Nitroso Impurity 4")</f>
        <v>Telavancin Nitroso Impurity 4</v>
      </c>
      <c r="C2185" s="6" t="str">
        <f>HYPERLINK("https://www.kmpharma.in/product/32162","KMT061005")</f>
        <v>KMT061005</v>
      </c>
      <c r="D2185" s="6" t="s">
        <v>7</v>
      </c>
      <c r="E2185" s="6" t="s">
        <v>16</v>
      </c>
    </row>
    <row r="2186" spans="1:5" x14ac:dyDescent="0.25">
      <c r="A2186" s="3">
        <v>2185</v>
      </c>
      <c r="B2186" s="3" t="str">
        <f>HYPERLINK("https://www.kmpharma.in/product/32258","Telmisartan N-Nitroso N-Desmethyl Impurity")</f>
        <v>Telmisartan N-Nitroso N-Desmethyl Impurity</v>
      </c>
      <c r="C2186" s="3" t="str">
        <f>HYPERLINK("https://www.kmpharma.in/product/32258","KMT005079")</f>
        <v>KMT005079</v>
      </c>
      <c r="D2186" s="3" t="s">
        <v>7</v>
      </c>
      <c r="E2186" s="5" t="s">
        <v>321</v>
      </c>
    </row>
    <row r="2187" spans="1:5" x14ac:dyDescent="0.25">
      <c r="A2187" s="6">
        <v>2186</v>
      </c>
      <c r="B2187" s="6" t="str">
        <f>HYPERLINK("https://www.kmpharma.in/product/32248","Telmisartan Nitroso Impurity 1")</f>
        <v>Telmisartan Nitroso Impurity 1</v>
      </c>
      <c r="C2187" s="6" t="str">
        <f>HYPERLINK("https://www.kmpharma.in/product/32248","KMT005080")</f>
        <v>KMT005080</v>
      </c>
      <c r="D2187" s="6" t="s">
        <v>7</v>
      </c>
      <c r="E2187" s="7" t="s">
        <v>321</v>
      </c>
    </row>
    <row r="2188" spans="1:5" x14ac:dyDescent="0.25">
      <c r="A2188" s="3">
        <v>2187</v>
      </c>
      <c r="B2188" s="3" t="str">
        <f>HYPERLINK("https://www.kmpharma.in/product/32249","Telmisartan Nitroso Impurity 2")</f>
        <v>Telmisartan Nitroso Impurity 2</v>
      </c>
      <c r="C2188" s="3" t="str">
        <f>HYPERLINK("https://www.kmpharma.in/product/32249","KMT005081")</f>
        <v>KMT005081</v>
      </c>
      <c r="D2188" s="3" t="s">
        <v>7</v>
      </c>
      <c r="E2188" s="5" t="s">
        <v>321</v>
      </c>
    </row>
    <row r="2189" spans="1:5" x14ac:dyDescent="0.25">
      <c r="A2189" s="6">
        <v>2188</v>
      </c>
      <c r="B2189" s="6" t="str">
        <f>HYPERLINK("https://www.kmpharma.in/product/32250","Telmisartan Nitroso Impurity 3")</f>
        <v>Telmisartan Nitroso Impurity 3</v>
      </c>
      <c r="C2189" s="6" t="str">
        <f>HYPERLINK("https://www.kmpharma.in/product/32250","KMT005082")</f>
        <v>KMT005082</v>
      </c>
      <c r="D2189" s="6" t="s">
        <v>7</v>
      </c>
      <c r="E2189" s="7" t="s">
        <v>321</v>
      </c>
    </row>
    <row r="2190" spans="1:5" x14ac:dyDescent="0.25">
      <c r="A2190" s="3">
        <v>2189</v>
      </c>
      <c r="B2190" s="3" t="str">
        <f>HYPERLINK("https://www.kmpharma.in/product/32251","Telmisartan Nitroso Impurity 4")</f>
        <v>Telmisartan Nitroso Impurity 4</v>
      </c>
      <c r="C2190" s="3" t="str">
        <f>HYPERLINK("https://www.kmpharma.in/product/32251","KMT005083")</f>
        <v>KMT005083</v>
      </c>
      <c r="D2190" s="3" t="s">
        <v>7</v>
      </c>
      <c r="E2190" s="5" t="s">
        <v>321</v>
      </c>
    </row>
    <row r="2191" spans="1:5" x14ac:dyDescent="0.25">
      <c r="A2191" s="6">
        <v>2190</v>
      </c>
      <c r="B2191" s="6" t="str">
        <f>HYPERLINK("https://www.kmpharma.in/product/32252","Telmisartan Nitroso Impurity 5")</f>
        <v>Telmisartan Nitroso Impurity 5</v>
      </c>
      <c r="C2191" s="6" t="str">
        <f>HYPERLINK("https://www.kmpharma.in/product/32252","KMT005084")</f>
        <v>KMT005084</v>
      </c>
      <c r="D2191" s="6" t="s">
        <v>7</v>
      </c>
      <c r="E2191" s="7" t="s">
        <v>321</v>
      </c>
    </row>
    <row r="2192" spans="1:5" x14ac:dyDescent="0.25">
      <c r="A2192" s="3">
        <v>2191</v>
      </c>
      <c r="B2192" s="3" t="str">
        <f>HYPERLINK("https://www.kmpharma.in/product/32253","Telmisartan Nitroso Impurity 6")</f>
        <v>Telmisartan Nitroso Impurity 6</v>
      </c>
      <c r="C2192" s="3" t="str">
        <f>HYPERLINK("https://www.kmpharma.in/product/32253","KMT005085")</f>
        <v>KMT005085</v>
      </c>
      <c r="D2192" s="3" t="s">
        <v>7</v>
      </c>
      <c r="E2192" s="5" t="s">
        <v>321</v>
      </c>
    </row>
    <row r="2193" spans="1:5" x14ac:dyDescent="0.25">
      <c r="A2193" s="6">
        <v>2192</v>
      </c>
      <c r="B2193" s="6" t="str">
        <f>HYPERLINK("https://www.kmpharma.in/product/32254","Telmisartan Nitroso Impurity 7")</f>
        <v>Telmisartan Nitroso Impurity 7</v>
      </c>
      <c r="C2193" s="6" t="str">
        <f>HYPERLINK("https://www.kmpharma.in/product/32254","KMT005086")</f>
        <v>KMT005086</v>
      </c>
      <c r="D2193" s="6" t="s">
        <v>7</v>
      </c>
      <c r="E2193" s="7" t="s">
        <v>321</v>
      </c>
    </row>
    <row r="2194" spans="1:5" x14ac:dyDescent="0.25">
      <c r="A2194" s="3">
        <v>2193</v>
      </c>
      <c r="B2194" s="3" t="str">
        <f>HYPERLINK("https://www.kmpharma.in/product/32255","Telmisartan Nitroso Impurity 8")</f>
        <v>Telmisartan Nitroso Impurity 8</v>
      </c>
      <c r="C2194" s="3" t="str">
        <f>HYPERLINK("https://www.kmpharma.in/product/32255","KMT005087")</f>
        <v>KMT005087</v>
      </c>
      <c r="D2194" s="3" t="s">
        <v>7</v>
      </c>
      <c r="E2194" s="5" t="s">
        <v>321</v>
      </c>
    </row>
    <row r="2195" spans="1:5" x14ac:dyDescent="0.25">
      <c r="A2195" s="6">
        <v>2194</v>
      </c>
      <c r="B2195" s="6" t="str">
        <f>HYPERLINK("https://www.kmpharma.in/product/32594","Terbinafine Nitroso Impurity 1")</f>
        <v>Terbinafine Nitroso Impurity 1</v>
      </c>
      <c r="C2195" s="6" t="str">
        <f>HYPERLINK("https://www.kmpharma.in/product/32594","KMT023034")</f>
        <v>KMT023034</v>
      </c>
      <c r="D2195" s="6" t="s">
        <v>7</v>
      </c>
      <c r="E2195" s="7" t="s">
        <v>321</v>
      </c>
    </row>
    <row r="2196" spans="1:5" x14ac:dyDescent="0.25">
      <c r="A2196" s="3">
        <v>2195</v>
      </c>
      <c r="B2196" s="3" t="str">
        <f>HYPERLINK("https://www.kmpharma.in/product/32595","Terbinafine Nitroso Impurity 2")</f>
        <v>Terbinafine Nitroso Impurity 2</v>
      </c>
      <c r="C2196" s="3" t="str">
        <f>HYPERLINK("https://www.kmpharma.in/product/32595","KMT023035")</f>
        <v>KMT023035</v>
      </c>
      <c r="D2196" s="3" t="s">
        <v>7</v>
      </c>
      <c r="E2196" s="5" t="s">
        <v>321</v>
      </c>
    </row>
    <row r="2197" spans="1:5" x14ac:dyDescent="0.25">
      <c r="A2197" s="6">
        <v>2196</v>
      </c>
      <c r="B2197" s="6" t="str">
        <f>HYPERLINK("https://www.kmpharma.in/product/32614","Terbutaline Nitroso D9")</f>
        <v>Terbutaline Nitroso D9</v>
      </c>
      <c r="C2197" s="6" t="str">
        <f>HYPERLINK("https://www.kmpharma.in/product/32614","KMT072018")</f>
        <v>KMT072018</v>
      </c>
      <c r="D2197" s="6" t="s">
        <v>7</v>
      </c>
      <c r="E2197" s="6" t="s">
        <v>16</v>
      </c>
    </row>
    <row r="2198" spans="1:5" x14ac:dyDescent="0.25">
      <c r="A2198" s="3">
        <v>2197</v>
      </c>
      <c r="B2198" s="3" t="str">
        <f>HYPERLINK("https://www.kmpharma.in/product/32615","Terbutaline Nitroso Impurity 1")</f>
        <v>Terbutaline Nitroso Impurity 1</v>
      </c>
      <c r="C2198" s="3" t="str">
        <f>HYPERLINK("https://www.kmpharma.in/product/32615","KMT072019")</f>
        <v>KMT072019</v>
      </c>
      <c r="D2198" s="3" t="s">
        <v>7</v>
      </c>
      <c r="E2198" s="3" t="s">
        <v>16</v>
      </c>
    </row>
    <row r="2199" spans="1:5" x14ac:dyDescent="0.25">
      <c r="A2199" s="6">
        <v>2198</v>
      </c>
      <c r="B2199" s="6" t="str">
        <f>HYPERLINK("https://www.kmpharma.in/product/32951","Tetracaine N-Oxide Nitroso Impurity")</f>
        <v>Tetracaine N-Oxide Nitroso Impurity</v>
      </c>
      <c r="C2199" s="6" t="str">
        <f>HYPERLINK("https://www.kmpharma.in/product/32951","KMT084029")</f>
        <v>KMT084029</v>
      </c>
      <c r="D2199" s="6" t="s">
        <v>7</v>
      </c>
      <c r="E2199" s="6" t="s">
        <v>16</v>
      </c>
    </row>
    <row r="2200" spans="1:5" x14ac:dyDescent="0.25">
      <c r="A2200" s="3">
        <v>2199</v>
      </c>
      <c r="B2200" s="3" t="str">
        <f>HYPERLINK("https://www.kmpharma.in/product/22356","Tetrahydro Nitroso Nicardipine")</f>
        <v>Tetrahydro Nitroso Nicardipine</v>
      </c>
      <c r="C2200" s="3" t="str">
        <f>HYPERLINK("https://www.kmpharma.in/product/22356","KMN057032")</f>
        <v>KMN057032</v>
      </c>
      <c r="D2200" s="3" t="s">
        <v>7</v>
      </c>
      <c r="E2200" s="5" t="s">
        <v>321</v>
      </c>
    </row>
    <row r="2201" spans="1:5" x14ac:dyDescent="0.25">
      <c r="A2201" s="6">
        <v>2200</v>
      </c>
      <c r="B2201" s="6" t="str">
        <f>HYPERLINK("https://www.kmpharma.in/product/33501","Ticagrelor Enantiomer Nitroso Impurity")</f>
        <v>Ticagrelor Enantiomer Nitroso Impurity</v>
      </c>
      <c r="C2201" s="6" t="str">
        <f>HYPERLINK("https://www.kmpharma.in/product/33501","KMT004029")</f>
        <v>KMT004029</v>
      </c>
      <c r="D2201" s="6" t="s">
        <v>7</v>
      </c>
      <c r="E2201" s="7" t="s">
        <v>321</v>
      </c>
    </row>
    <row r="2202" spans="1:5" x14ac:dyDescent="0.25">
      <c r="A2202" s="3">
        <v>2201</v>
      </c>
      <c r="B2202" s="3" t="str">
        <f>HYPERLINK("https://www.kmpharma.in/product/33502","Ticagrelor Nitroso Impurity 1")</f>
        <v>Ticagrelor Nitroso Impurity 1</v>
      </c>
      <c r="C2202" s="3" t="str">
        <f>HYPERLINK("https://www.kmpharma.in/product/33502","KMT004171")</f>
        <v>KMT004171</v>
      </c>
      <c r="D2202" s="3" t="s">
        <v>7</v>
      </c>
      <c r="E2202" s="5" t="s">
        <v>321</v>
      </c>
    </row>
    <row r="2203" spans="1:5" x14ac:dyDescent="0.25">
      <c r="A2203" s="6">
        <v>2202</v>
      </c>
      <c r="B2203" s="6" t="str">
        <f>HYPERLINK("https://www.kmpharma.in/product/33513","Ticagrelor Nitroso Impurity 10")</f>
        <v>Ticagrelor Nitroso Impurity 10</v>
      </c>
      <c r="C2203" s="6" t="str">
        <f>HYPERLINK("https://www.kmpharma.in/product/33513","KMT004172")</f>
        <v>KMT004172</v>
      </c>
      <c r="D2203" s="6" t="s">
        <v>7</v>
      </c>
      <c r="E2203" s="7" t="s">
        <v>321</v>
      </c>
    </row>
    <row r="2204" spans="1:5" x14ac:dyDescent="0.25">
      <c r="A2204" s="3">
        <v>2203</v>
      </c>
      <c r="B2204" s="3" t="str">
        <f>HYPERLINK("https://www.kmpharma.in/product/33503","Ticagrelor Nitroso Impurity 11")</f>
        <v>Ticagrelor Nitroso Impurity 11</v>
      </c>
      <c r="C2204" s="3" t="str">
        <f>HYPERLINK("https://www.kmpharma.in/product/33503","KMT004173")</f>
        <v>KMT004173</v>
      </c>
      <c r="D2204" s="3" t="s">
        <v>7</v>
      </c>
      <c r="E2204" s="5" t="s">
        <v>321</v>
      </c>
    </row>
    <row r="2205" spans="1:5" x14ac:dyDescent="0.25">
      <c r="A2205" s="6">
        <v>2204</v>
      </c>
      <c r="B2205" s="6" t="str">
        <f>HYPERLINK("https://www.kmpharma.in/product/33504","Ticagrelor Nitroso Impurity 12")</f>
        <v>Ticagrelor Nitroso Impurity 12</v>
      </c>
      <c r="C2205" s="6" t="str">
        <f>HYPERLINK("https://www.kmpharma.in/product/33504","KMT004174")</f>
        <v>KMT004174</v>
      </c>
      <c r="D2205" s="6" t="s">
        <v>7</v>
      </c>
      <c r="E2205" s="7" t="s">
        <v>321</v>
      </c>
    </row>
    <row r="2206" spans="1:5" x14ac:dyDescent="0.25">
      <c r="A2206" s="3">
        <v>2205</v>
      </c>
      <c r="B2206" s="3" t="str">
        <f>HYPERLINK("https://www.kmpharma.in/product/33498","Ticagrelor Nitroso Impurity 13")</f>
        <v>Ticagrelor Nitroso Impurity 13</v>
      </c>
      <c r="C2206" s="3" t="str">
        <f>HYPERLINK("https://www.kmpharma.in/product/33498","KMT004175")</f>
        <v>KMT004175</v>
      </c>
      <c r="D2206" s="3" t="s">
        <v>7</v>
      </c>
      <c r="E2206" s="5" t="s">
        <v>323</v>
      </c>
    </row>
    <row r="2207" spans="1:5" x14ac:dyDescent="0.25">
      <c r="A2207" s="6">
        <v>2206</v>
      </c>
      <c r="B2207" s="6" t="str">
        <f>HYPERLINK("https://www.kmpharma.in/product/33505","Ticagrelor Nitroso Impurity 15")</f>
        <v>Ticagrelor Nitroso Impurity 15</v>
      </c>
      <c r="C2207" s="6" t="str">
        <f>HYPERLINK("https://www.kmpharma.in/product/33505","KMT004176")</f>
        <v>KMT004176</v>
      </c>
      <c r="D2207" s="6" t="s">
        <v>7</v>
      </c>
      <c r="E2207" s="6" t="s">
        <v>16</v>
      </c>
    </row>
    <row r="2208" spans="1:5" x14ac:dyDescent="0.25">
      <c r="A2208" s="3">
        <v>2207</v>
      </c>
      <c r="B2208" s="3" t="str">
        <f>HYPERLINK("https://www.kmpharma.in/product/33514","Ticagrelor Nitroso Impurity 16")</f>
        <v>Ticagrelor Nitroso Impurity 16</v>
      </c>
      <c r="C2208" s="3" t="str">
        <f>HYPERLINK("https://www.kmpharma.in/product/33514","KMT004177")</f>
        <v>KMT004177</v>
      </c>
      <c r="D2208" s="3" t="s">
        <v>7</v>
      </c>
      <c r="E2208" s="3" t="s">
        <v>16</v>
      </c>
    </row>
    <row r="2209" spans="1:5" x14ac:dyDescent="0.25">
      <c r="A2209" s="6">
        <v>2208</v>
      </c>
      <c r="B2209" s="6" t="str">
        <f>HYPERLINK("https://www.kmpharma.in/product/33506","Ticagrelor Nitroso Impurity 18")</f>
        <v>Ticagrelor Nitroso Impurity 18</v>
      </c>
      <c r="C2209" s="6" t="str">
        <f>HYPERLINK("https://www.kmpharma.in/product/33506","KMT004178")</f>
        <v>KMT004178</v>
      </c>
      <c r="D2209" s="6" t="s">
        <v>7</v>
      </c>
      <c r="E2209" s="6" t="s">
        <v>16</v>
      </c>
    </row>
    <row r="2210" spans="1:5" x14ac:dyDescent="0.25">
      <c r="A2210" s="3">
        <v>2209</v>
      </c>
      <c r="B2210" s="3" t="str">
        <f>HYPERLINK("https://www.kmpharma.in/product/33497","Ticagrelor Nitroso Impurity 19")</f>
        <v>Ticagrelor Nitroso Impurity 19</v>
      </c>
      <c r="C2210" s="3" t="str">
        <f>HYPERLINK("https://www.kmpharma.in/product/33497","KMT004179")</f>
        <v>KMT004179</v>
      </c>
      <c r="D2210" s="3" t="s">
        <v>7</v>
      </c>
      <c r="E2210" s="3" t="s">
        <v>16</v>
      </c>
    </row>
    <row r="2211" spans="1:5" x14ac:dyDescent="0.25">
      <c r="A2211" s="6">
        <v>2210</v>
      </c>
      <c r="B2211" s="6" t="str">
        <f>HYPERLINK("https://www.kmpharma.in/product/33515","Ticagrelor Nitroso Impurity 2")</f>
        <v>Ticagrelor Nitroso Impurity 2</v>
      </c>
      <c r="C2211" s="6" t="str">
        <f>HYPERLINK("https://www.kmpharma.in/product/33515","KMT004180")</f>
        <v>KMT004180</v>
      </c>
      <c r="D2211" s="6" t="s">
        <v>7</v>
      </c>
      <c r="E2211" s="7" t="s">
        <v>321</v>
      </c>
    </row>
    <row r="2212" spans="1:5" x14ac:dyDescent="0.25">
      <c r="A2212" s="3">
        <v>2211</v>
      </c>
      <c r="B2212" s="3" t="str">
        <f>HYPERLINK("https://www.kmpharma.in/product/33507","Ticagrelor Nitroso Impurity 20")</f>
        <v>Ticagrelor Nitroso Impurity 20</v>
      </c>
      <c r="C2212" s="3" t="str">
        <f>HYPERLINK("https://www.kmpharma.in/product/33507","KMT004181")</f>
        <v>KMT004181</v>
      </c>
      <c r="D2212" s="3" t="s">
        <v>7</v>
      </c>
      <c r="E2212" s="3" t="s">
        <v>16</v>
      </c>
    </row>
    <row r="2213" spans="1:5" x14ac:dyDescent="0.25">
      <c r="A2213" s="6">
        <v>2212</v>
      </c>
      <c r="B2213" s="6" t="str">
        <f>HYPERLINK("https://www.kmpharma.in/product/33508","Ticagrelor Nitroso Impurity 21")</f>
        <v>Ticagrelor Nitroso Impurity 21</v>
      </c>
      <c r="C2213" s="6" t="str">
        <f>HYPERLINK("https://www.kmpharma.in/product/33508","KMT004182")</f>
        <v>KMT004182</v>
      </c>
      <c r="D2213" s="6" t="s">
        <v>7</v>
      </c>
      <c r="E2213" s="7" t="s">
        <v>321</v>
      </c>
    </row>
    <row r="2214" spans="1:5" x14ac:dyDescent="0.25">
      <c r="A2214" s="3">
        <v>2213</v>
      </c>
      <c r="B2214" s="3" t="str">
        <f>HYPERLINK("https://www.kmpharma.in/product/33509","Ticagrelor Nitroso Impurity 22")</f>
        <v>Ticagrelor Nitroso Impurity 22</v>
      </c>
      <c r="C2214" s="3" t="str">
        <f>HYPERLINK("https://www.kmpharma.in/product/33509","KMT004183")</f>
        <v>KMT004183</v>
      </c>
      <c r="D2214" s="3" t="s">
        <v>7</v>
      </c>
      <c r="E2214" s="5" t="s">
        <v>321</v>
      </c>
    </row>
    <row r="2215" spans="1:5" x14ac:dyDescent="0.25">
      <c r="A2215" s="6">
        <v>2214</v>
      </c>
      <c r="B2215" s="6" t="str">
        <f>HYPERLINK("https://www.kmpharma.in/product/33510","Ticagrelor Nitroso Impurity 23")</f>
        <v>Ticagrelor Nitroso Impurity 23</v>
      </c>
      <c r="C2215" s="6" t="str">
        <f>HYPERLINK("https://www.kmpharma.in/product/33510","KMT004184")</f>
        <v>KMT004184</v>
      </c>
      <c r="D2215" s="6" t="s">
        <v>7</v>
      </c>
      <c r="E2215" s="7" t="s">
        <v>321</v>
      </c>
    </row>
    <row r="2216" spans="1:5" x14ac:dyDescent="0.25">
      <c r="A2216" s="3">
        <v>2215</v>
      </c>
      <c r="B2216" s="3" t="str">
        <f>HYPERLINK("https://www.kmpharma.in/product/33516","Ticagrelor Nitroso Impurity 3")</f>
        <v>Ticagrelor Nitroso Impurity 3</v>
      </c>
      <c r="C2216" s="3" t="str">
        <f>HYPERLINK("https://www.kmpharma.in/product/33516","KMT004185")</f>
        <v>KMT004185</v>
      </c>
      <c r="D2216" s="3" t="s">
        <v>7</v>
      </c>
      <c r="E2216" s="5" t="s">
        <v>321</v>
      </c>
    </row>
    <row r="2217" spans="1:5" x14ac:dyDescent="0.25">
      <c r="A2217" s="6">
        <v>2216</v>
      </c>
      <c r="B2217" s="6" t="str">
        <f>HYPERLINK("https://www.kmpharma.in/product/33517","Ticagrelor Nitroso Impurity 4")</f>
        <v>Ticagrelor Nitroso Impurity 4</v>
      </c>
      <c r="C2217" s="6" t="str">
        <f>HYPERLINK("https://www.kmpharma.in/product/33517","KMT004186")</f>
        <v>KMT004186</v>
      </c>
      <c r="D2217" s="6" t="s">
        <v>7</v>
      </c>
      <c r="E2217" s="7" t="s">
        <v>321</v>
      </c>
    </row>
    <row r="2218" spans="1:5" x14ac:dyDescent="0.25">
      <c r="A2218" s="3">
        <v>2217</v>
      </c>
      <c r="B2218" s="3" t="str">
        <f>HYPERLINK("https://www.kmpharma.in/product/33518","Ticagrelor Nitroso Impurity 5")</f>
        <v>Ticagrelor Nitroso Impurity 5</v>
      </c>
      <c r="C2218" s="3" t="str">
        <f>HYPERLINK("https://www.kmpharma.in/product/33518","KMT004187")</f>
        <v>KMT004187</v>
      </c>
      <c r="D2218" s="3" t="s">
        <v>7</v>
      </c>
      <c r="E2218" s="5" t="s">
        <v>321</v>
      </c>
    </row>
    <row r="2219" spans="1:5" x14ac:dyDescent="0.25">
      <c r="A2219" s="6">
        <v>2218</v>
      </c>
      <c r="B2219" s="6" t="str">
        <f>HYPERLINK("https://www.kmpharma.in/product/33519","Ticagrelor Nitroso Impurity 6")</f>
        <v>Ticagrelor Nitroso Impurity 6</v>
      </c>
      <c r="C2219" s="6" t="str">
        <f>HYPERLINK("https://www.kmpharma.in/product/33519","KMT004188")</f>
        <v>KMT004188</v>
      </c>
      <c r="D2219" s="6" t="s">
        <v>7</v>
      </c>
      <c r="E2219" s="7" t="s">
        <v>321</v>
      </c>
    </row>
    <row r="2220" spans="1:5" x14ac:dyDescent="0.25">
      <c r="A2220" s="3">
        <v>2219</v>
      </c>
      <c r="B2220" s="3" t="str">
        <f>HYPERLINK("https://www.kmpharma.in/product/33520","Ticagrelor Nitroso Impurity 7")</f>
        <v>Ticagrelor Nitroso Impurity 7</v>
      </c>
      <c r="C2220" s="3" t="str">
        <f>HYPERLINK("https://www.kmpharma.in/product/33520","KMT004189")</f>
        <v>KMT004189</v>
      </c>
      <c r="D2220" s="3" t="s">
        <v>7</v>
      </c>
      <c r="E2220" s="5" t="s">
        <v>321</v>
      </c>
    </row>
    <row r="2221" spans="1:5" x14ac:dyDescent="0.25">
      <c r="A2221" s="6">
        <v>2220</v>
      </c>
      <c r="B2221" s="6" t="str">
        <f>HYPERLINK("https://www.kmpharma.in/product/33511","Ticagrelor Nitroso Impurity 9")</f>
        <v>Ticagrelor Nitroso Impurity 9</v>
      </c>
      <c r="C2221" s="6" t="str">
        <f>HYPERLINK("https://www.kmpharma.in/product/33511","KMT004190")</f>
        <v>KMT004190</v>
      </c>
      <c r="D2221" s="6" t="s">
        <v>7</v>
      </c>
      <c r="E2221" s="7" t="s">
        <v>323</v>
      </c>
    </row>
    <row r="2222" spans="1:5" x14ac:dyDescent="0.25">
      <c r="A2222" s="3">
        <v>2221</v>
      </c>
      <c r="B2222" s="3" t="str">
        <f>HYPERLINK("https://www.kmpharma.in/product/33792","Tizanidine Nitroso Impurity 1")</f>
        <v>Tizanidine Nitroso Impurity 1</v>
      </c>
      <c r="C2222" s="3" t="str">
        <f>HYPERLINK("https://www.kmpharma.in/product/33792","KMT013027")</f>
        <v>KMT013027</v>
      </c>
      <c r="D2222" s="3" t="s">
        <v>7</v>
      </c>
      <c r="E2222" s="5" t="s">
        <v>323</v>
      </c>
    </row>
    <row r="2223" spans="1:5" x14ac:dyDescent="0.25">
      <c r="A2223" s="6">
        <v>2222</v>
      </c>
      <c r="B2223" s="6" t="str">
        <f>HYPERLINK("https://www.kmpharma.in/product/33793","Tizanidine Nitroso Impurity 2")</f>
        <v>Tizanidine Nitroso Impurity 2</v>
      </c>
      <c r="C2223" s="6" t="str">
        <f>HYPERLINK("https://www.kmpharma.in/product/33793","KMT013028")</f>
        <v>KMT013028</v>
      </c>
      <c r="D2223" s="6" t="s">
        <v>7</v>
      </c>
      <c r="E2223" s="7" t="s">
        <v>321</v>
      </c>
    </row>
    <row r="2224" spans="1:5" x14ac:dyDescent="0.25">
      <c r="A2224" s="3">
        <v>2223</v>
      </c>
      <c r="B2224" s="3" t="str">
        <f>HYPERLINK("https://www.kmpharma.in/product/33794","Tizanidine Nitroso Impurity 3")</f>
        <v>Tizanidine Nitroso Impurity 3</v>
      </c>
      <c r="C2224" s="3" t="str">
        <f>HYPERLINK("https://www.kmpharma.in/product/33794","KMT013029")</f>
        <v>KMT013029</v>
      </c>
      <c r="D2224" s="3" t="s">
        <v>7</v>
      </c>
      <c r="E2224" s="5" t="s">
        <v>321</v>
      </c>
    </row>
    <row r="2225" spans="1:5" x14ac:dyDescent="0.25">
      <c r="A2225" s="6">
        <v>2224</v>
      </c>
      <c r="B2225" s="6" t="str">
        <f>HYPERLINK("https://www.kmpharma.in/product/33796","Tizanidine Nitroso Impurity 4")</f>
        <v>Tizanidine Nitroso Impurity 4</v>
      </c>
      <c r="C2225" s="6" t="str">
        <f>HYPERLINK("https://www.kmpharma.in/product/33796","KMT013030")</f>
        <v>KMT013030</v>
      </c>
      <c r="D2225" s="6" t="s">
        <v>7</v>
      </c>
      <c r="E2225" s="7" t="s">
        <v>321</v>
      </c>
    </row>
    <row r="2226" spans="1:5" x14ac:dyDescent="0.25">
      <c r="A2226" s="3">
        <v>2225</v>
      </c>
      <c r="B2226" s="3" t="str">
        <f>HYPERLINK("https://www.kmpharma.in/product/33956","Tofacitinib Nitroso Impurity 2")</f>
        <v>Tofacitinib Nitroso Impurity 2</v>
      </c>
      <c r="C2226" s="3" t="str">
        <f>HYPERLINK("https://www.kmpharma.in/product/33956","KMT136123")</f>
        <v>KMT136123</v>
      </c>
      <c r="D2226" s="3" t="s">
        <v>7</v>
      </c>
      <c r="E2226" s="5" t="s">
        <v>321</v>
      </c>
    </row>
    <row r="2227" spans="1:5" x14ac:dyDescent="0.25">
      <c r="A2227" s="6">
        <v>2226</v>
      </c>
      <c r="B2227" s="6" t="str">
        <f>HYPERLINK("https://www.kmpharma.in/product/33957","Tofacitinib Nitroso Impurity 3")</f>
        <v>Tofacitinib Nitroso Impurity 3</v>
      </c>
      <c r="C2227" s="6" t="str">
        <f>HYPERLINK("https://www.kmpharma.in/product/33957","KMT136124")</f>
        <v>KMT136124</v>
      </c>
      <c r="D2227" s="6" t="s">
        <v>7</v>
      </c>
      <c r="E2227" s="7" t="s">
        <v>321</v>
      </c>
    </row>
    <row r="2228" spans="1:5" x14ac:dyDescent="0.25">
      <c r="A2228" s="3">
        <v>2227</v>
      </c>
      <c r="B2228" s="3" t="str">
        <f>HYPERLINK("https://www.kmpharma.in/product/33958","Tofacitinib Nitroso Impurity 4")</f>
        <v>Tofacitinib Nitroso Impurity 4</v>
      </c>
      <c r="C2228" s="3" t="str">
        <f>HYPERLINK("https://www.kmpharma.in/product/33958","KMT136125")</f>
        <v>KMT136125</v>
      </c>
      <c r="D2228" s="3" t="s">
        <v>7</v>
      </c>
      <c r="E2228" s="5" t="s">
        <v>321</v>
      </c>
    </row>
    <row r="2229" spans="1:5" x14ac:dyDescent="0.25">
      <c r="A2229" s="6">
        <v>2228</v>
      </c>
      <c r="B2229" s="6" t="str">
        <f>HYPERLINK("https://www.kmpharma.in/product/33982","Tolfenamic acid Nitroso Impurity")</f>
        <v>Tolfenamic acid Nitroso Impurity</v>
      </c>
      <c r="C2229" s="6" t="str">
        <f>HYPERLINK("https://www.kmpharma.in/product/33982","KMT141005")</f>
        <v>KMT141005</v>
      </c>
      <c r="D2229" s="6" t="s">
        <v>7</v>
      </c>
      <c r="E2229" s="7" t="s">
        <v>322</v>
      </c>
    </row>
    <row r="2230" spans="1:5" x14ac:dyDescent="0.25">
      <c r="A2230" s="3">
        <v>2229</v>
      </c>
      <c r="B2230" s="3" t="str">
        <f>HYPERLINK("https://www.kmpharma.in/product/34111","Tolvaptan Nitroso Impurity 1")</f>
        <v>Tolvaptan Nitroso Impurity 1</v>
      </c>
      <c r="C2230" s="3" t="str">
        <f>HYPERLINK("https://www.kmpharma.in/product/34111","KMT028064")</f>
        <v>KMT028064</v>
      </c>
      <c r="D2230" s="3" t="s">
        <v>7</v>
      </c>
      <c r="E2230" s="5" t="s">
        <v>321</v>
      </c>
    </row>
    <row r="2231" spans="1:5" x14ac:dyDescent="0.25">
      <c r="A2231" s="6">
        <v>2230</v>
      </c>
      <c r="B2231" s="6" t="str">
        <f>HYPERLINK("https://www.kmpharma.in/product/34246","Trametinib Nitroso Impurity 1")</f>
        <v>Trametinib Nitroso Impurity 1</v>
      </c>
      <c r="C2231" s="6" t="str">
        <f>HYPERLINK("https://www.kmpharma.in/product/34246","KMT155029")</f>
        <v>KMT155029</v>
      </c>
      <c r="D2231" s="6" t="s">
        <v>7</v>
      </c>
      <c r="E2231" s="7" t="s">
        <v>322</v>
      </c>
    </row>
    <row r="2232" spans="1:5" x14ac:dyDescent="0.25">
      <c r="A2232" s="3">
        <v>2231</v>
      </c>
      <c r="B2232" s="3" t="str">
        <f>HYPERLINK("https://www.kmpharma.in/product/34247","Trametinib Nitroso Impurity 2")</f>
        <v>Trametinib Nitroso Impurity 2</v>
      </c>
      <c r="C2232" s="3" t="str">
        <f>HYPERLINK("https://www.kmpharma.in/product/34247","KMT155030")</f>
        <v>KMT155030</v>
      </c>
      <c r="D2232" s="3" t="s">
        <v>7</v>
      </c>
      <c r="E2232" s="5" t="s">
        <v>321</v>
      </c>
    </row>
    <row r="2233" spans="1:5" x14ac:dyDescent="0.25">
      <c r="A2233" s="6">
        <v>2232</v>
      </c>
      <c r="B2233" s="6" t="str">
        <f>HYPERLINK("https://www.kmpharma.in/product/34248","Trametinib Nitroso Impurity 3")</f>
        <v>Trametinib Nitroso Impurity 3</v>
      </c>
      <c r="C2233" s="6" t="str">
        <f>HYPERLINK("https://www.kmpharma.in/product/34248","KMT155031")</f>
        <v>KMT155031</v>
      </c>
      <c r="D2233" s="6" t="s">
        <v>7</v>
      </c>
      <c r="E2233" s="7" t="s">
        <v>321</v>
      </c>
    </row>
    <row r="2234" spans="1:5" x14ac:dyDescent="0.25">
      <c r="A2234" s="3">
        <v>2233</v>
      </c>
      <c r="B2234" s="3" t="str">
        <f>HYPERLINK("https://www.kmpharma.in/product/34249","Trametinib Nitroso Impurity 4")</f>
        <v>Trametinib Nitroso Impurity 4</v>
      </c>
      <c r="C2234" s="3" t="str">
        <f>HYPERLINK("https://www.kmpharma.in/product/34249","KMT155032")</f>
        <v>KMT155032</v>
      </c>
      <c r="D2234" s="3" t="s">
        <v>7</v>
      </c>
      <c r="E2234" s="5" t="s">
        <v>321</v>
      </c>
    </row>
    <row r="2235" spans="1:5" x14ac:dyDescent="0.25">
      <c r="A2235" s="6">
        <v>2234</v>
      </c>
      <c r="B2235" s="6" t="str">
        <f>HYPERLINK("https://www.kmpharma.in/product/34268","Trandolapril Nitroso Impurity 1")</f>
        <v>Trandolapril Nitroso Impurity 1</v>
      </c>
      <c r="C2235" s="6" t="str">
        <f>HYPERLINK("https://www.kmpharma.in/product/34268","KMT156018")</f>
        <v>KMT156018</v>
      </c>
      <c r="D2235" s="6" t="s">
        <v>7</v>
      </c>
      <c r="E2235" s="7" t="s">
        <v>321</v>
      </c>
    </row>
    <row r="2236" spans="1:5" x14ac:dyDescent="0.25">
      <c r="A2236" s="3">
        <v>2235</v>
      </c>
      <c r="B2236" s="3" t="str">
        <f>HYPERLINK("https://www.kmpharma.in/product/34360","Trelagliptin Nitroso Impurity 1")</f>
        <v>Trelagliptin Nitroso Impurity 1</v>
      </c>
      <c r="C2236" s="3" t="str">
        <f>HYPERLINK("https://www.kmpharma.in/product/34360","KMT160010")</f>
        <v>KMT160010</v>
      </c>
      <c r="D2236" s="3" t="s">
        <v>7</v>
      </c>
      <c r="E2236" s="5" t="s">
        <v>321</v>
      </c>
    </row>
    <row r="2237" spans="1:5" x14ac:dyDescent="0.25">
      <c r="A2237" s="6">
        <v>2236</v>
      </c>
      <c r="B2237" s="6" t="str">
        <f>HYPERLINK("https://www.kmpharma.in/product/34460","Triclabendazole Nitroso Impurity 1")</f>
        <v>Triclabendazole Nitroso Impurity 1</v>
      </c>
      <c r="C2237" s="6" t="str">
        <f>HYPERLINK("https://www.kmpharma.in/product/34460","KMT173008")</f>
        <v>KMT173008</v>
      </c>
      <c r="D2237" s="6" t="s">
        <v>7</v>
      </c>
      <c r="E2237" s="7" t="s">
        <v>321</v>
      </c>
    </row>
    <row r="2238" spans="1:5" x14ac:dyDescent="0.25">
      <c r="A2238" s="3">
        <v>2237</v>
      </c>
      <c r="B2238" s="3" t="str">
        <f>HYPERLINK("https://www.kmpharma.in/product/34505","Trientine Nitroso Impurity 1")</f>
        <v>Trientine Nitroso Impurity 1</v>
      </c>
      <c r="C2238" s="3" t="str">
        <f>HYPERLINK("https://www.kmpharma.in/product/34505","KMT177034")</f>
        <v>KMT177034</v>
      </c>
      <c r="D2238" s="3" t="s">
        <v>308</v>
      </c>
      <c r="E2238" s="5" t="s">
        <v>321</v>
      </c>
    </row>
    <row r="2239" spans="1:5" x14ac:dyDescent="0.25">
      <c r="A2239" s="6">
        <v>2238</v>
      </c>
      <c r="B2239" s="6" t="str">
        <f>HYPERLINK("https://www.kmpharma.in/product/34506","Trientine Nitroso Impurity 2")</f>
        <v>Trientine Nitroso Impurity 2</v>
      </c>
      <c r="C2239" s="6" t="str">
        <f>HYPERLINK("https://www.kmpharma.in/product/34506","KMT177035")</f>
        <v>KMT177035</v>
      </c>
      <c r="D2239" s="6" t="s">
        <v>7</v>
      </c>
      <c r="E2239" s="7" t="s">
        <v>321</v>
      </c>
    </row>
    <row r="2240" spans="1:5" x14ac:dyDescent="0.25">
      <c r="A2240" s="3">
        <v>2239</v>
      </c>
      <c r="B2240" s="3" t="str">
        <f>HYPERLINK("https://www.kmpharma.in/product/34507","Trientine Nitroso Impurity 4")</f>
        <v>Trientine Nitroso Impurity 4</v>
      </c>
      <c r="C2240" s="3" t="str">
        <f>HYPERLINK("https://www.kmpharma.in/product/34507","KMT177036")</f>
        <v>KMT177036</v>
      </c>
      <c r="D2240" s="3" t="s">
        <v>7</v>
      </c>
      <c r="E2240" s="5" t="s">
        <v>321</v>
      </c>
    </row>
    <row r="2241" spans="1:5" x14ac:dyDescent="0.25">
      <c r="A2241" s="6">
        <v>2240</v>
      </c>
      <c r="B2241" s="6" t="str">
        <f>HYPERLINK("https://www.kmpharma.in/product/34508","Trientine Nitroso Impurity 5")</f>
        <v>Trientine Nitroso Impurity 5</v>
      </c>
      <c r="C2241" s="6" t="str">
        <f>HYPERLINK("https://www.kmpharma.in/product/34508","KMT177037")</f>
        <v>KMT177037</v>
      </c>
      <c r="D2241" s="6" t="s">
        <v>7</v>
      </c>
      <c r="E2241" s="7" t="s">
        <v>323</v>
      </c>
    </row>
    <row r="2242" spans="1:5" x14ac:dyDescent="0.25">
      <c r="A2242" s="3">
        <v>2241</v>
      </c>
      <c r="B2242" s="3" t="str">
        <f>HYPERLINK("https://www.kmpharma.in/product/34593","Trimebutine Nitroso Impurity 1")</f>
        <v>Trimebutine Nitroso Impurity 1</v>
      </c>
      <c r="C2242" s="3" t="str">
        <f>HYPERLINK("https://www.kmpharma.in/product/34593","KMT188019")</f>
        <v>KMT188019</v>
      </c>
      <c r="D2242" s="3" t="s">
        <v>7</v>
      </c>
      <c r="E2242" s="5" t="s">
        <v>323</v>
      </c>
    </row>
    <row r="2243" spans="1:5" x14ac:dyDescent="0.25">
      <c r="A2243" s="6">
        <v>2242</v>
      </c>
      <c r="B2243" s="6" t="str">
        <f>HYPERLINK("https://www.kmpharma.in/product/34592","Trimebutine Nitroso Impurity 2")</f>
        <v>Trimebutine Nitroso Impurity 2</v>
      </c>
      <c r="C2243" s="6" t="str">
        <f>HYPERLINK("https://www.kmpharma.in/product/34592","KMT188020")</f>
        <v>KMT188020</v>
      </c>
      <c r="D2243" s="6" t="s">
        <v>7</v>
      </c>
      <c r="E2243" s="6" t="s">
        <v>16</v>
      </c>
    </row>
    <row r="2244" spans="1:5" x14ac:dyDescent="0.25">
      <c r="A2244" s="3">
        <v>2243</v>
      </c>
      <c r="B2244" s="3" t="str">
        <f>HYPERLINK("https://www.kmpharma.in/product/34769","Tryptophol Nitroso Impurity 1")</f>
        <v>Tryptophol Nitroso Impurity 1</v>
      </c>
      <c r="C2244" s="3" t="str">
        <f>HYPERLINK("https://www.kmpharma.in/product/34769","KMT204007")</f>
        <v>KMT204007</v>
      </c>
      <c r="D2244" s="3" t="s">
        <v>309</v>
      </c>
      <c r="E2244" s="3" t="s">
        <v>16</v>
      </c>
    </row>
    <row r="2245" spans="1:5" x14ac:dyDescent="0.25">
      <c r="A2245" s="6">
        <v>2244</v>
      </c>
      <c r="B2245" s="6" t="str">
        <f>HYPERLINK("https://www.kmpharma.in/product/34808","Tulobuterol Nitroso Impurity")</f>
        <v>Tulobuterol Nitroso Impurity</v>
      </c>
      <c r="C2245" s="6" t="str">
        <f>HYPERLINK("https://www.kmpharma.in/product/34808","KMT207002")</f>
        <v>KMT207002</v>
      </c>
      <c r="D2245" s="6" t="s">
        <v>7</v>
      </c>
      <c r="E2245" s="6" t="s">
        <v>16</v>
      </c>
    </row>
    <row r="2246" spans="1:5" x14ac:dyDescent="0.25">
      <c r="A2246" s="3">
        <v>2245</v>
      </c>
      <c r="B2246" s="3" t="str">
        <f>HYPERLINK("https://www.kmpharma.in/product/37696","Upadacitinib Nitroso impurity 1")</f>
        <v>Upadacitinib Nitroso impurity 1</v>
      </c>
      <c r="C2246" s="3" t="str">
        <f>HYPERLINK("https://www.kmpharma.in/product/37696","KMU002026")</f>
        <v>KMU002026</v>
      </c>
      <c r="D2246" s="3" t="s">
        <v>7</v>
      </c>
      <c r="E2246" s="5" t="s">
        <v>321</v>
      </c>
    </row>
    <row r="2247" spans="1:5" x14ac:dyDescent="0.25">
      <c r="A2247" s="6">
        <v>2246</v>
      </c>
      <c r="B2247" s="6" t="str">
        <f>HYPERLINK("https://www.kmpharma.in/product/37695","Upadacitinib Nitroso Impurity 2")</f>
        <v>Upadacitinib Nitroso Impurity 2</v>
      </c>
      <c r="C2247" s="6" t="str">
        <f>HYPERLINK("https://www.kmpharma.in/product/37695","KMU002027")</f>
        <v>KMU002027</v>
      </c>
      <c r="D2247" s="6" t="s">
        <v>7</v>
      </c>
      <c r="E2247" s="7" t="s">
        <v>321</v>
      </c>
    </row>
    <row r="2248" spans="1:5" x14ac:dyDescent="0.25">
      <c r="A2248" s="3">
        <v>2247</v>
      </c>
      <c r="B2248" s="3" t="str">
        <f>HYPERLINK("https://www.kmpharma.in/product/37721","Urapidil Nitroso Impurity 1")</f>
        <v>Urapidil Nitroso Impurity 1</v>
      </c>
      <c r="C2248" s="3" t="str">
        <f>HYPERLINK("https://www.kmpharma.in/product/37721","KMU001024")</f>
        <v>KMU001024</v>
      </c>
      <c r="D2248" s="3" t="s">
        <v>7</v>
      </c>
      <c r="E2248" s="5" t="s">
        <v>321</v>
      </c>
    </row>
    <row r="2249" spans="1:5" x14ac:dyDescent="0.25">
      <c r="A2249" s="6">
        <v>2248</v>
      </c>
      <c r="B2249" s="6" t="str">
        <f>HYPERLINK("https://www.kmpharma.in/product/37722","Urapidil Nitroso Impurity 2")</f>
        <v>Urapidil Nitroso Impurity 2</v>
      </c>
      <c r="C2249" s="6" t="str">
        <f>HYPERLINK("https://www.kmpharma.in/product/37722","KMU001025")</f>
        <v>KMU001025</v>
      </c>
      <c r="D2249" s="6" t="s">
        <v>310</v>
      </c>
      <c r="E2249" s="7" t="s">
        <v>321</v>
      </c>
    </row>
    <row r="2250" spans="1:5" x14ac:dyDescent="0.25">
      <c r="A2250" s="3">
        <v>2249</v>
      </c>
      <c r="B2250" s="3" t="str">
        <f>HYPERLINK("https://www.kmpharma.in/product/37865","Valbenazine Nitroso Impurity 1")</f>
        <v>Valbenazine Nitroso Impurity 1</v>
      </c>
      <c r="C2250" s="3" t="str">
        <f>HYPERLINK("https://www.kmpharma.in/product/37865","KMV016016")</f>
        <v>KMV016016</v>
      </c>
      <c r="D2250" s="3" t="s">
        <v>7</v>
      </c>
      <c r="E2250" s="5" t="s">
        <v>321</v>
      </c>
    </row>
    <row r="2251" spans="1:5" x14ac:dyDescent="0.25">
      <c r="A2251" s="6">
        <v>2250</v>
      </c>
      <c r="B2251" s="6" t="str">
        <f>HYPERLINK("https://www.kmpharma.in/product/37866","Valbenazine Nitroso Impurity 2")</f>
        <v>Valbenazine Nitroso Impurity 2</v>
      </c>
      <c r="C2251" s="6" t="str">
        <f>HYPERLINK("https://www.kmpharma.in/product/37866","KMV016017")</f>
        <v>KMV016017</v>
      </c>
      <c r="D2251" s="6" t="s">
        <v>7</v>
      </c>
      <c r="E2251" s="7" t="s">
        <v>321</v>
      </c>
    </row>
    <row r="2252" spans="1:5" x14ac:dyDescent="0.25">
      <c r="A2252" s="3">
        <v>2251</v>
      </c>
      <c r="B2252" s="3" t="str">
        <f>HYPERLINK("https://www.kmpharma.in/product/37867","Valbenazine Nitroso Impurity 3")</f>
        <v>Valbenazine Nitroso Impurity 3</v>
      </c>
      <c r="C2252" s="3" t="str">
        <f>HYPERLINK("https://www.kmpharma.in/product/37867","KMV016018")</f>
        <v>KMV016018</v>
      </c>
      <c r="D2252" s="3" t="s">
        <v>7</v>
      </c>
      <c r="E2252" s="5" t="s">
        <v>321</v>
      </c>
    </row>
    <row r="2253" spans="1:5" x14ac:dyDescent="0.25">
      <c r="A2253" s="6">
        <v>2252</v>
      </c>
      <c r="B2253" s="6" t="str">
        <f>HYPERLINK("https://www.kmpharma.in/product/37918","Valganciclovir N3,N3'-Methylene Dimer Nitroso Impurity")</f>
        <v>Valganciclovir N3,N3'-Methylene Dimer Nitroso Impurity</v>
      </c>
      <c r="C2253" s="6" t="str">
        <f>HYPERLINK("https://www.kmpharma.in/product/37918","KMV010043")</f>
        <v>KMV010043</v>
      </c>
      <c r="D2253" s="6" t="s">
        <v>7</v>
      </c>
      <c r="E2253" s="7" t="s">
        <v>321</v>
      </c>
    </row>
    <row r="2254" spans="1:5" x14ac:dyDescent="0.25">
      <c r="A2254" s="3">
        <v>2253</v>
      </c>
      <c r="B2254" s="3" t="str">
        <f>HYPERLINK("https://www.kmpharma.in/product/37919","Valganciclovir Nitroso Impurity 1")</f>
        <v>Valganciclovir Nitroso Impurity 1</v>
      </c>
      <c r="C2254" s="3" t="str">
        <f>HYPERLINK("https://www.kmpharma.in/product/37919","KMV010044")</f>
        <v>KMV010044</v>
      </c>
      <c r="D2254" s="3" t="s">
        <v>7</v>
      </c>
      <c r="E2254" s="5" t="s">
        <v>323</v>
      </c>
    </row>
    <row r="2255" spans="1:5" x14ac:dyDescent="0.25">
      <c r="A2255" s="6">
        <v>2254</v>
      </c>
      <c r="B2255" s="6" t="str">
        <f>HYPERLINK("https://www.kmpharma.in/product/39138","Valsartan Desvaleryl Dinitroso Impurity")</f>
        <v>Valsartan Desvaleryl Dinitroso Impurity</v>
      </c>
      <c r="C2255" s="6" t="str">
        <f>HYPERLINK("https://www.kmpharma.in/product/39138","KMV008033")</f>
        <v>KMV008033</v>
      </c>
      <c r="D2255" s="6" t="s">
        <v>7</v>
      </c>
      <c r="E2255" s="7" t="s">
        <v>321</v>
      </c>
    </row>
    <row r="2256" spans="1:5" x14ac:dyDescent="0.25">
      <c r="A2256" s="3">
        <v>2255</v>
      </c>
      <c r="B2256" s="3" t="str">
        <f>HYPERLINK("https://www.kmpharma.in/product/39139","Valsartan Desvaleryl Nitroso Impurity")</f>
        <v>Valsartan Desvaleryl Nitroso Impurity</v>
      </c>
      <c r="C2256" s="3" t="str">
        <f>HYPERLINK("https://www.kmpharma.in/product/39139","KMV008036")</f>
        <v>KMV008036</v>
      </c>
      <c r="D2256" s="3" t="s">
        <v>7</v>
      </c>
      <c r="E2256" s="5" t="s">
        <v>321</v>
      </c>
    </row>
    <row r="2257" spans="1:5" x14ac:dyDescent="0.25">
      <c r="A2257" s="6">
        <v>2256</v>
      </c>
      <c r="B2257" s="6" t="str">
        <f>HYPERLINK("https://www.kmpharma.in/product/39136","Valsartan Nitroso Impurity 1")</f>
        <v>Valsartan Nitroso Impurity 1</v>
      </c>
      <c r="C2257" s="6" t="str">
        <f>HYPERLINK("https://www.kmpharma.in/product/39136","KMV008072")</f>
        <v>KMV008072</v>
      </c>
      <c r="D2257" s="6" t="s">
        <v>7</v>
      </c>
      <c r="E2257" s="7" t="s">
        <v>323</v>
      </c>
    </row>
    <row r="2258" spans="1:5" x14ac:dyDescent="0.25">
      <c r="A2258" s="3">
        <v>2257</v>
      </c>
      <c r="B2258" s="3" t="str">
        <f>HYPERLINK("https://www.kmpharma.in/product/39131","Valsartan Nitroso Impurity 3")</f>
        <v>Valsartan Nitroso Impurity 3</v>
      </c>
      <c r="C2258" s="3" t="str">
        <f>HYPERLINK("https://www.kmpharma.in/product/39131","KMV008073")</f>
        <v>KMV008073</v>
      </c>
      <c r="D2258" s="3" t="s">
        <v>311</v>
      </c>
      <c r="E2258" s="5" t="s">
        <v>321</v>
      </c>
    </row>
    <row r="2259" spans="1:5" x14ac:dyDescent="0.25">
      <c r="A2259" s="6">
        <v>2258</v>
      </c>
      <c r="B2259" s="6" t="str">
        <f>HYPERLINK("https://www.kmpharma.in/product/39132","Valsartan Nitroso Impurity 4")</f>
        <v>Valsartan Nitroso Impurity 4</v>
      </c>
      <c r="C2259" s="6" t="str">
        <f>HYPERLINK("https://www.kmpharma.in/product/39132","KMV008074")</f>
        <v>KMV008074</v>
      </c>
      <c r="D2259" s="6" t="s">
        <v>7</v>
      </c>
      <c r="E2259" s="7" t="s">
        <v>321</v>
      </c>
    </row>
    <row r="2260" spans="1:5" x14ac:dyDescent="0.25">
      <c r="A2260" s="3">
        <v>2259</v>
      </c>
      <c r="B2260" s="3" t="str">
        <f>HYPERLINK("https://www.kmpharma.in/product/37998","Vancomycin Nitroso Impurity")</f>
        <v>Vancomycin Nitroso Impurity</v>
      </c>
      <c r="C2260" s="3" t="str">
        <f>HYPERLINK("https://www.kmpharma.in/product/37998","KMV007029")</f>
        <v>KMV007029</v>
      </c>
      <c r="D2260" s="3" t="s">
        <v>7</v>
      </c>
      <c r="E2260" s="5" t="s">
        <v>321</v>
      </c>
    </row>
    <row r="2261" spans="1:5" x14ac:dyDescent="0.25">
      <c r="A2261" s="6">
        <v>2260</v>
      </c>
      <c r="B2261" s="6" t="str">
        <f>HYPERLINK("https://www.kmpharma.in/product/38007","Vandetanib Nitroso Impurity 1")</f>
        <v>Vandetanib Nitroso Impurity 1</v>
      </c>
      <c r="C2261" s="6" t="str">
        <f>HYPERLINK("https://www.kmpharma.in/product/38007","KMV021010")</f>
        <v>KMV021010</v>
      </c>
      <c r="D2261" s="6" t="s">
        <v>7</v>
      </c>
      <c r="E2261" s="7" t="s">
        <v>321</v>
      </c>
    </row>
    <row r="2262" spans="1:5" x14ac:dyDescent="0.25">
      <c r="A2262" s="3">
        <v>2261</v>
      </c>
      <c r="B2262" s="3" t="str">
        <f>HYPERLINK("https://www.kmpharma.in/product/38044","Vardenafil Nitroso Impurity 1")</f>
        <v>Vardenafil Nitroso Impurity 1</v>
      </c>
      <c r="C2262" s="3" t="str">
        <f>HYPERLINK("https://www.kmpharma.in/product/38044","KMV005034")</f>
        <v>KMV005034</v>
      </c>
      <c r="D2262" s="3" t="s">
        <v>7</v>
      </c>
      <c r="E2262" s="5" t="s">
        <v>321</v>
      </c>
    </row>
    <row r="2263" spans="1:5" x14ac:dyDescent="0.25">
      <c r="A2263" s="6">
        <v>2262</v>
      </c>
      <c r="B2263" s="6" t="str">
        <f>HYPERLINK("https://www.kmpharma.in/product/38106","Varenicline Nitroso D2")</f>
        <v>Varenicline Nitroso D2</v>
      </c>
      <c r="C2263" s="6" t="str">
        <f>HYPERLINK("https://www.kmpharma.in/product/38106","KMV011063")</f>
        <v>KMV011063</v>
      </c>
      <c r="D2263" s="6" t="s">
        <v>7</v>
      </c>
      <c r="E2263" s="7" t="s">
        <v>321</v>
      </c>
    </row>
    <row r="2264" spans="1:5" x14ac:dyDescent="0.25">
      <c r="A2264" s="3">
        <v>2263</v>
      </c>
      <c r="B2264" s="3" t="str">
        <f>HYPERLINK("https://www.kmpharma.in/product/38107","Varenicline Nitroso D4")</f>
        <v>Varenicline Nitroso D4</v>
      </c>
      <c r="C2264" s="3" t="str">
        <f>HYPERLINK("https://www.kmpharma.in/product/38107","KMV011064")</f>
        <v>KMV011064</v>
      </c>
      <c r="D2264" s="3" t="s">
        <v>7</v>
      </c>
      <c r="E2264" s="3" t="s">
        <v>16</v>
      </c>
    </row>
    <row r="2265" spans="1:5" x14ac:dyDescent="0.25">
      <c r="A2265" s="6">
        <v>2264</v>
      </c>
      <c r="B2265" s="6" t="str">
        <f>HYPERLINK("https://www.kmpharma.in/product/38111","Varenicline Nitroso Impurity 1")</f>
        <v>Varenicline Nitroso Impurity 1</v>
      </c>
      <c r="C2265" s="6" t="str">
        <f>HYPERLINK("https://www.kmpharma.in/product/38111","KMV011065")</f>
        <v>KMV011065</v>
      </c>
      <c r="D2265" s="6" t="s">
        <v>312</v>
      </c>
      <c r="E2265" s="7" t="s">
        <v>321</v>
      </c>
    </row>
    <row r="2266" spans="1:5" x14ac:dyDescent="0.25">
      <c r="A2266" s="3">
        <v>2265</v>
      </c>
      <c r="B2266" s="3" t="str">
        <f>HYPERLINK("https://www.kmpharma.in/product/38116","Varenicline Nitroso Impurity 2")</f>
        <v>Varenicline Nitroso Impurity 2</v>
      </c>
      <c r="C2266" s="3" t="str">
        <f>HYPERLINK("https://www.kmpharma.in/product/38116","KMV011066")</f>
        <v>KMV011066</v>
      </c>
      <c r="D2266" s="3" t="s">
        <v>7</v>
      </c>
      <c r="E2266" s="5" t="s">
        <v>321</v>
      </c>
    </row>
    <row r="2267" spans="1:5" x14ac:dyDescent="0.25">
      <c r="A2267" s="6">
        <v>2266</v>
      </c>
      <c r="B2267" s="6" t="str">
        <f>HYPERLINK("https://www.kmpharma.in/product/38112","Varenicline Nitroso Impurity 3")</f>
        <v>Varenicline Nitroso Impurity 3</v>
      </c>
      <c r="C2267" s="6" t="str">
        <f>HYPERLINK("https://www.kmpharma.in/product/38112","KMV011067")</f>
        <v>KMV011067</v>
      </c>
      <c r="D2267" s="6" t="s">
        <v>313</v>
      </c>
      <c r="E2267" s="7" t="s">
        <v>321</v>
      </c>
    </row>
    <row r="2268" spans="1:5" x14ac:dyDescent="0.25">
      <c r="A2268" s="3">
        <v>2267</v>
      </c>
      <c r="B2268" s="3" t="str">
        <f>HYPERLINK("https://www.kmpharma.in/product/38113","Varenicline Nitroso Impurity 4")</f>
        <v>Varenicline Nitroso Impurity 4</v>
      </c>
      <c r="C2268" s="3" t="str">
        <f>HYPERLINK("https://www.kmpharma.in/product/38113","KMV011068")</f>
        <v>KMV011068</v>
      </c>
      <c r="D2268" s="3" t="s">
        <v>314</v>
      </c>
      <c r="E2268" s="5" t="s">
        <v>321</v>
      </c>
    </row>
    <row r="2269" spans="1:5" x14ac:dyDescent="0.25">
      <c r="A2269" s="6">
        <v>2268</v>
      </c>
      <c r="B2269" s="6" t="str">
        <f>HYPERLINK("https://www.kmpharma.in/product/38114","Varenicline Nitroso Impurity 5")</f>
        <v>Varenicline Nitroso Impurity 5</v>
      </c>
      <c r="C2269" s="6" t="str">
        <f>HYPERLINK("https://www.kmpharma.in/product/38114","KMV011069")</f>
        <v>KMV011069</v>
      </c>
      <c r="D2269" s="6" t="s">
        <v>7</v>
      </c>
      <c r="E2269" s="7" t="s">
        <v>323</v>
      </c>
    </row>
    <row r="2270" spans="1:5" x14ac:dyDescent="0.25">
      <c r="A2270" s="3">
        <v>2269</v>
      </c>
      <c r="B2270" s="3" t="str">
        <f>HYPERLINK("https://www.kmpharma.in/product/38135","Vecabrutinib Nitroso Impurity")</f>
        <v>Vecabrutinib Nitroso Impurity</v>
      </c>
      <c r="C2270" s="3" t="str">
        <f>HYPERLINK("https://www.kmpharma.in/product/38135","KMV024002")</f>
        <v>KMV024002</v>
      </c>
      <c r="D2270" s="3" t="s">
        <v>7</v>
      </c>
      <c r="E2270" s="5" t="s">
        <v>321</v>
      </c>
    </row>
    <row r="2271" spans="1:5" x14ac:dyDescent="0.25">
      <c r="A2271" s="6">
        <v>2270</v>
      </c>
      <c r="B2271" s="6" t="str">
        <f>HYPERLINK("https://www.kmpharma.in/product/38205","Velpatasvir Nitroso Impurity 1")</f>
        <v>Velpatasvir Nitroso Impurity 1</v>
      </c>
      <c r="C2271" s="6" t="str">
        <f>HYPERLINK("https://www.kmpharma.in/product/38205","KMV026056")</f>
        <v>KMV026056</v>
      </c>
      <c r="D2271" s="6" t="s">
        <v>7</v>
      </c>
      <c r="E2271" s="7" t="s">
        <v>321</v>
      </c>
    </row>
    <row r="2272" spans="1:5" x14ac:dyDescent="0.25">
      <c r="A2272" s="3">
        <v>2271</v>
      </c>
      <c r="B2272" s="3" t="str">
        <f>HYPERLINK("https://www.kmpharma.in/product/38206","Velpatasvir Nitroso Impurity 2")</f>
        <v>Velpatasvir Nitroso Impurity 2</v>
      </c>
      <c r="C2272" s="3" t="str">
        <f>HYPERLINK("https://www.kmpharma.in/product/38206","KMV026057")</f>
        <v>KMV026057</v>
      </c>
      <c r="D2272" s="3" t="s">
        <v>7</v>
      </c>
      <c r="E2272" s="5" t="s">
        <v>323</v>
      </c>
    </row>
    <row r="2273" spans="1:5" x14ac:dyDescent="0.25">
      <c r="A2273" s="6">
        <v>2272</v>
      </c>
      <c r="B2273" s="6" t="str">
        <f>HYPERLINK("https://www.kmpharma.in/product/38207","Velpatasvir Nitroso Impurity 3")</f>
        <v>Velpatasvir Nitroso Impurity 3</v>
      </c>
      <c r="C2273" s="6" t="str">
        <f>HYPERLINK("https://www.kmpharma.in/product/38207","KMV026058")</f>
        <v>KMV026058</v>
      </c>
      <c r="D2273" s="6" t="s">
        <v>7</v>
      </c>
      <c r="E2273" s="6" t="s">
        <v>16</v>
      </c>
    </row>
    <row r="2274" spans="1:5" x14ac:dyDescent="0.25">
      <c r="A2274" s="3">
        <v>2273</v>
      </c>
      <c r="B2274" s="3" t="str">
        <f>HYPERLINK("https://www.kmpharma.in/product/38204","Velpatasvir Nitroso Impurity 4")</f>
        <v>Velpatasvir Nitroso Impurity 4</v>
      </c>
      <c r="C2274" s="3" t="str">
        <f>HYPERLINK("https://www.kmpharma.in/product/38204","KMV026059")</f>
        <v>KMV026059</v>
      </c>
      <c r="D2274" s="3" t="s">
        <v>7</v>
      </c>
      <c r="E2274" s="5" t="s">
        <v>321</v>
      </c>
    </row>
    <row r="2275" spans="1:5" x14ac:dyDescent="0.25">
      <c r="A2275" s="6">
        <v>2274</v>
      </c>
      <c r="B2275" s="6" t="str">
        <f>HYPERLINK("https://www.kmpharma.in/product/38273","Venetoclax Nitroso Impurity 1")</f>
        <v>Venetoclax Nitroso Impurity 1</v>
      </c>
      <c r="C2275" s="6" t="str">
        <f>HYPERLINK("https://www.kmpharma.in/product/38273","KMV027059")</f>
        <v>KMV027059</v>
      </c>
      <c r="D2275" s="6" t="s">
        <v>7</v>
      </c>
      <c r="E2275" s="7" t="s">
        <v>321</v>
      </c>
    </row>
    <row r="2276" spans="1:5" x14ac:dyDescent="0.25">
      <c r="A2276" s="3">
        <v>2275</v>
      </c>
      <c r="B2276" s="3" t="str">
        <f>HYPERLINK("https://www.kmpharma.in/product/38274","Venetoclax Nitroso Impurity 2")</f>
        <v>Venetoclax Nitroso Impurity 2</v>
      </c>
      <c r="C2276" s="3" t="str">
        <f>HYPERLINK("https://www.kmpharma.in/product/38274","KMV027060")</f>
        <v>KMV027060</v>
      </c>
      <c r="D2276" s="3" t="s">
        <v>7</v>
      </c>
      <c r="E2276" s="5" t="s">
        <v>321</v>
      </c>
    </row>
    <row r="2277" spans="1:5" x14ac:dyDescent="0.25">
      <c r="A2277" s="6">
        <v>2276</v>
      </c>
      <c r="B2277" s="6" t="str">
        <f>HYPERLINK("https://www.kmpharma.in/product/38275","Venetoclax Nitroso Impurity 3")</f>
        <v>Venetoclax Nitroso Impurity 3</v>
      </c>
      <c r="C2277" s="6" t="str">
        <f>HYPERLINK("https://www.kmpharma.in/product/38275","KMV027061")</f>
        <v>KMV027061</v>
      </c>
      <c r="D2277" s="6" t="s">
        <v>7</v>
      </c>
      <c r="E2277" s="7" t="s">
        <v>321</v>
      </c>
    </row>
    <row r="2278" spans="1:5" x14ac:dyDescent="0.25">
      <c r="A2278" s="3">
        <v>2277</v>
      </c>
      <c r="B2278" s="3" t="str">
        <f>HYPERLINK("https://www.kmpharma.in/product/38269","Venetoclax Nitroso Impurity 4")</f>
        <v>Venetoclax Nitroso Impurity 4</v>
      </c>
      <c r="C2278" s="3" t="str">
        <f>HYPERLINK("https://www.kmpharma.in/product/38269","KMV027062")</f>
        <v>KMV027062</v>
      </c>
      <c r="D2278" s="3" t="s">
        <v>7</v>
      </c>
      <c r="E2278" s="5" t="s">
        <v>321</v>
      </c>
    </row>
    <row r="2279" spans="1:5" x14ac:dyDescent="0.25">
      <c r="A2279" s="6">
        <v>2278</v>
      </c>
      <c r="B2279" s="6" t="str">
        <f>HYPERLINK("https://www.kmpharma.in/product/38270","Venetoclax Nitroso Impurity 5")</f>
        <v>Venetoclax Nitroso Impurity 5</v>
      </c>
      <c r="C2279" s="6" t="str">
        <f>HYPERLINK("https://www.kmpharma.in/product/38270","KMV027063")</f>
        <v>KMV027063</v>
      </c>
      <c r="D2279" s="6" t="s">
        <v>7</v>
      </c>
      <c r="E2279" s="7" t="s">
        <v>321</v>
      </c>
    </row>
    <row r="2280" spans="1:5" x14ac:dyDescent="0.25">
      <c r="A2280" s="3">
        <v>2279</v>
      </c>
      <c r="B2280" s="3" t="str">
        <f>HYPERLINK("https://www.kmpharma.in/product/38271","Venetoclax Nitroso Impurity 6")</f>
        <v>Venetoclax Nitroso Impurity 6</v>
      </c>
      <c r="C2280" s="3" t="str">
        <f>HYPERLINK("https://www.kmpharma.in/product/38271","KMV027064")</f>
        <v>KMV027064</v>
      </c>
      <c r="D2280" s="3" t="s">
        <v>7</v>
      </c>
      <c r="E2280" s="5" t="s">
        <v>321</v>
      </c>
    </row>
    <row r="2281" spans="1:5" x14ac:dyDescent="0.25">
      <c r="A2281" s="6">
        <v>2280</v>
      </c>
      <c r="B2281" s="6" t="str">
        <f>HYPERLINK("https://www.kmpharma.in/product/38272","Venetoclax Nitroso Impurity 7")</f>
        <v>Venetoclax Nitroso Impurity 7</v>
      </c>
      <c r="C2281" s="6" t="str">
        <f>HYPERLINK("https://www.kmpharma.in/product/38272","KMV027065")</f>
        <v>KMV027065</v>
      </c>
      <c r="D2281" s="6" t="s">
        <v>7</v>
      </c>
      <c r="E2281" s="7" t="s">
        <v>321</v>
      </c>
    </row>
    <row r="2282" spans="1:5" x14ac:dyDescent="0.25">
      <c r="A2282" s="3">
        <v>2281</v>
      </c>
      <c r="B2282" s="3" t="str">
        <f>HYPERLINK("https://www.kmpharma.in/product/38385","Vericiguat Nitroso Impurity 1")</f>
        <v>Vericiguat Nitroso Impurity 1</v>
      </c>
      <c r="C2282" s="3" t="str">
        <f>HYPERLINK("https://www.kmpharma.in/product/38385","KMV028011")</f>
        <v>KMV028011</v>
      </c>
      <c r="D2282" s="3" t="s">
        <v>7</v>
      </c>
      <c r="E2282" s="5" t="s">
        <v>321</v>
      </c>
    </row>
    <row r="2283" spans="1:5" x14ac:dyDescent="0.25">
      <c r="A2283" s="6">
        <v>2282</v>
      </c>
      <c r="B2283" s="6" t="str">
        <f>HYPERLINK("https://www.kmpharma.in/product/38441","Vibegron Nitroso Impurity 1")</f>
        <v>Vibegron Nitroso Impurity 1</v>
      </c>
      <c r="C2283" s="6" t="str">
        <f>HYPERLINK("https://www.kmpharma.in/product/38441","KMV006058")</f>
        <v>KMV006058</v>
      </c>
      <c r="D2283" s="6" t="s">
        <v>7</v>
      </c>
      <c r="E2283" s="7" t="s">
        <v>321</v>
      </c>
    </row>
    <row r="2284" spans="1:5" x14ac:dyDescent="0.25">
      <c r="A2284" s="3">
        <v>2283</v>
      </c>
      <c r="B2284" s="3" t="str">
        <f>HYPERLINK("https://www.kmpharma.in/product/38509","Vilanterol Nitroso Impurity 1")</f>
        <v>Vilanterol Nitroso Impurity 1</v>
      </c>
      <c r="C2284" s="3" t="str">
        <f>HYPERLINK("https://www.kmpharma.in/product/38509","KMV032038")</f>
        <v>KMV032038</v>
      </c>
      <c r="D2284" s="3" t="s">
        <v>7</v>
      </c>
      <c r="E2284" s="5" t="s">
        <v>321</v>
      </c>
    </row>
    <row r="2285" spans="1:5" x14ac:dyDescent="0.25">
      <c r="A2285" s="6">
        <v>2284</v>
      </c>
      <c r="B2285" s="6" t="str">
        <f>HYPERLINK("https://www.kmpharma.in/product/38506","Vilanterol Nitroso Impurity 2")</f>
        <v>Vilanterol Nitroso Impurity 2</v>
      </c>
      <c r="C2285" s="6" t="str">
        <f>HYPERLINK("https://www.kmpharma.in/product/38506","KMV032039")</f>
        <v>KMV032039</v>
      </c>
      <c r="D2285" s="6" t="s">
        <v>7</v>
      </c>
      <c r="E2285" s="7" t="s">
        <v>323</v>
      </c>
    </row>
    <row r="2286" spans="1:5" x14ac:dyDescent="0.25">
      <c r="A2286" s="3">
        <v>2285</v>
      </c>
      <c r="B2286" s="3" t="str">
        <f>HYPERLINK("https://www.kmpharma.in/product/38507","Vilanterol Nitroso Impurity 3")</f>
        <v>Vilanterol Nitroso Impurity 3</v>
      </c>
      <c r="C2286" s="3" t="str">
        <f>HYPERLINK("https://www.kmpharma.in/product/38507","KMV032040")</f>
        <v>KMV032040</v>
      </c>
      <c r="D2286" s="3" t="s">
        <v>7</v>
      </c>
      <c r="E2286" s="5" t="s">
        <v>321</v>
      </c>
    </row>
    <row r="2287" spans="1:5" x14ac:dyDescent="0.25">
      <c r="A2287" s="6">
        <v>2286</v>
      </c>
      <c r="B2287" s="6" t="str">
        <f>HYPERLINK("https://www.kmpharma.in/product/38508","Vilanterol Nitroso Impurity 4")</f>
        <v>Vilanterol Nitroso Impurity 4</v>
      </c>
      <c r="C2287" s="6" t="str">
        <f>HYPERLINK("https://www.kmpharma.in/product/38508","KMV032041")</f>
        <v>KMV032041</v>
      </c>
      <c r="D2287" s="6" t="s">
        <v>7</v>
      </c>
      <c r="E2287" s="7" t="s">
        <v>321</v>
      </c>
    </row>
    <row r="2288" spans="1:5" x14ac:dyDescent="0.25">
      <c r="A2288" s="3">
        <v>2287</v>
      </c>
      <c r="B2288" s="3" t="str">
        <f>HYPERLINK("https://www.kmpharma.in/product/38575","Vilazodone Diamide Nitroso impurity")</f>
        <v>Vilazodone Diamide Nitroso impurity</v>
      </c>
      <c r="C2288" s="3" t="str">
        <f>HYPERLINK("https://www.kmpharma.in/product/38575","KMV033017")</f>
        <v>KMV033017</v>
      </c>
      <c r="D2288" s="3" t="s">
        <v>7</v>
      </c>
      <c r="E2288" s="5" t="s">
        <v>323</v>
      </c>
    </row>
    <row r="2289" spans="1:5" x14ac:dyDescent="0.25">
      <c r="A2289" s="6">
        <v>2288</v>
      </c>
      <c r="B2289" s="6" t="str">
        <f>HYPERLINK("https://www.kmpharma.in/product/38584","Vilazodone Nitroso Impurity 1")</f>
        <v>Vilazodone Nitroso Impurity 1</v>
      </c>
      <c r="C2289" s="6" t="str">
        <f>HYPERLINK("https://www.kmpharma.in/product/38584","KMV033070")</f>
        <v>KMV033070</v>
      </c>
      <c r="D2289" s="6" t="s">
        <v>7</v>
      </c>
      <c r="E2289" s="7" t="s">
        <v>321</v>
      </c>
    </row>
    <row r="2290" spans="1:5" x14ac:dyDescent="0.25">
      <c r="A2290" s="3">
        <v>2289</v>
      </c>
      <c r="B2290" s="3" t="str">
        <f>HYPERLINK("https://www.kmpharma.in/product/38571","Vilazodone Nitroso Impurity 10")</f>
        <v>Vilazodone Nitroso Impurity 10</v>
      </c>
      <c r="C2290" s="3" t="str">
        <f>HYPERLINK("https://www.kmpharma.in/product/38571","KMV033071")</f>
        <v>KMV033071</v>
      </c>
      <c r="D2290" s="3" t="s">
        <v>7</v>
      </c>
      <c r="E2290" s="5" t="s">
        <v>321</v>
      </c>
    </row>
    <row r="2291" spans="1:5" x14ac:dyDescent="0.25">
      <c r="A2291" s="6">
        <v>2290</v>
      </c>
      <c r="B2291" s="6" t="str">
        <f>HYPERLINK("https://www.kmpharma.in/product/38576","Vilazodone Nitroso Impurity 6")</f>
        <v>Vilazodone Nitroso Impurity 6</v>
      </c>
      <c r="C2291" s="6" t="str">
        <f>HYPERLINK("https://www.kmpharma.in/product/38576","KMV033072")</f>
        <v>KMV033072</v>
      </c>
      <c r="D2291" s="6" t="s">
        <v>7</v>
      </c>
      <c r="E2291" s="7" t="s">
        <v>321</v>
      </c>
    </row>
    <row r="2292" spans="1:5" x14ac:dyDescent="0.25">
      <c r="A2292" s="3">
        <v>2291</v>
      </c>
      <c r="B2292" s="3" t="str">
        <f>HYPERLINK("https://www.kmpharma.in/product/38577","Vilazodone Nitroso Impurity 7")</f>
        <v>Vilazodone Nitroso Impurity 7</v>
      </c>
      <c r="C2292" s="3" t="str">
        <f>HYPERLINK("https://www.kmpharma.in/product/38577","KMV033073")</f>
        <v>KMV033073</v>
      </c>
      <c r="D2292" s="3" t="s">
        <v>315</v>
      </c>
      <c r="E2292" s="5" t="s">
        <v>321</v>
      </c>
    </row>
    <row r="2293" spans="1:5" x14ac:dyDescent="0.25">
      <c r="A2293" s="6">
        <v>2292</v>
      </c>
      <c r="B2293" s="6" t="str">
        <f>HYPERLINK("https://www.kmpharma.in/product/38578","Vilazodone Nitroso Impurity 8")</f>
        <v>Vilazodone Nitroso Impurity 8</v>
      </c>
      <c r="C2293" s="6" t="str">
        <f>HYPERLINK("https://www.kmpharma.in/product/38578","KMV033074")</f>
        <v>KMV033074</v>
      </c>
      <c r="D2293" s="6" t="s">
        <v>7</v>
      </c>
      <c r="E2293" s="7" t="s">
        <v>321</v>
      </c>
    </row>
    <row r="2294" spans="1:5" x14ac:dyDescent="0.25">
      <c r="A2294" s="3">
        <v>2293</v>
      </c>
      <c r="B2294" s="3" t="str">
        <f>HYPERLINK("https://www.kmpharma.in/product/38579","Vilazodone Nitroso Impurity 9")</f>
        <v>Vilazodone Nitroso Impurity 9</v>
      </c>
      <c r="C2294" s="3" t="str">
        <f>HYPERLINK("https://www.kmpharma.in/product/38579","KMV033075")</f>
        <v>KMV033075</v>
      </c>
      <c r="D2294" s="3" t="s">
        <v>7</v>
      </c>
      <c r="E2294" s="5" t="s">
        <v>321</v>
      </c>
    </row>
    <row r="2295" spans="1:5" x14ac:dyDescent="0.25">
      <c r="A2295" s="6">
        <v>2294</v>
      </c>
      <c r="B2295" s="6" t="str">
        <f>HYPERLINK("https://www.kmpharma.in/product/38677","Vildagliptin Carboxylic Acid Methyl Ester Nitroso Impurity")</f>
        <v>Vildagliptin Carboxylic Acid Methyl Ester Nitroso Impurity</v>
      </c>
      <c r="C2295" s="6" t="str">
        <f>HYPERLINK("https://www.kmpharma.in/product/38677","KMV013024")</f>
        <v>KMV013024</v>
      </c>
      <c r="D2295" s="6" t="s">
        <v>7</v>
      </c>
      <c r="E2295" s="7" t="s">
        <v>321</v>
      </c>
    </row>
    <row r="2296" spans="1:5" x14ac:dyDescent="0.25">
      <c r="A2296" s="3">
        <v>2295</v>
      </c>
      <c r="B2296" s="3" t="str">
        <f>HYPERLINK("https://www.kmpharma.in/product/38680","Vildagliptin N-Nitroso-L-Prolinaminde")</f>
        <v>Vildagliptin N-Nitroso-L-Prolinaminde</v>
      </c>
      <c r="C2296" s="3" t="str">
        <f>HYPERLINK("https://www.kmpharma.in/product/38680","KMV013095")</f>
        <v>KMV013095</v>
      </c>
      <c r="D2296" s="3" t="s">
        <v>316</v>
      </c>
      <c r="E2296" s="5" t="s">
        <v>321</v>
      </c>
    </row>
    <row r="2297" spans="1:5" x14ac:dyDescent="0.25">
      <c r="A2297" s="6">
        <v>2296</v>
      </c>
      <c r="B2297" s="6" t="str">
        <f>HYPERLINK("https://www.kmpharma.in/product/38681","Vildagliptin N-Nitroso-L-Proline Methyl Ester")</f>
        <v>Vildagliptin N-Nitroso-L-Proline Methyl Ester</v>
      </c>
      <c r="C2297" s="6" t="str">
        <f>HYPERLINK("https://www.kmpharma.in/product/38681","KMV013096")</f>
        <v>KMV013096</v>
      </c>
      <c r="D2297" s="6" t="s">
        <v>317</v>
      </c>
      <c r="E2297" s="7" t="s">
        <v>321</v>
      </c>
    </row>
    <row r="2298" spans="1:5" x14ac:dyDescent="0.25">
      <c r="A2298" s="3">
        <v>2297</v>
      </c>
      <c r="B2298" s="3" t="str">
        <f>HYPERLINK("https://www.kmpharma.in/product/38678","Vildagliptin Nitroso Impurity 2")</f>
        <v>Vildagliptin Nitroso Impurity 2</v>
      </c>
      <c r="C2298" s="3" t="str">
        <f>HYPERLINK("https://www.kmpharma.in/product/38678","KMV013098")</f>
        <v>KMV013098</v>
      </c>
      <c r="D2298" s="3" t="s">
        <v>318</v>
      </c>
      <c r="E2298" s="5" t="s">
        <v>321</v>
      </c>
    </row>
    <row r="2299" spans="1:5" x14ac:dyDescent="0.25">
      <c r="A2299" s="6">
        <v>2298</v>
      </c>
      <c r="B2299" s="6" t="str">
        <f>HYPERLINK("https://www.kmpharma.in/product/38679","Vildagliptin Nitroso Impurity 5")</f>
        <v>Vildagliptin Nitroso Impurity 5</v>
      </c>
      <c r="C2299" s="6" t="str">
        <f>HYPERLINK("https://www.kmpharma.in/product/38679","KMV013099")</f>
        <v>KMV013099</v>
      </c>
      <c r="D2299" s="6" t="s">
        <v>7</v>
      </c>
      <c r="E2299" s="7" t="s">
        <v>321</v>
      </c>
    </row>
    <row r="2300" spans="1:5" x14ac:dyDescent="0.25">
      <c r="A2300" s="3">
        <v>2299</v>
      </c>
      <c r="B2300" s="3" t="str">
        <f>HYPERLINK("https://www.kmpharma.in/product/38825","Voclosporin Nitroso Impurity 1")</f>
        <v>Voclosporin Nitroso Impurity 1</v>
      </c>
      <c r="C2300" s="3" t="str">
        <f>HYPERLINK("https://www.kmpharma.in/product/38825","KMV045010")</f>
        <v>KMV045010</v>
      </c>
      <c r="D2300" s="3" t="s">
        <v>7</v>
      </c>
      <c r="E2300" s="5" t="s">
        <v>321</v>
      </c>
    </row>
    <row r="2301" spans="1:5" x14ac:dyDescent="0.25">
      <c r="A2301" s="6">
        <v>2300</v>
      </c>
      <c r="B2301" s="6" t="str">
        <f>HYPERLINK("https://www.kmpharma.in/product/38907","Vonoprazan Nitroso Impurity")</f>
        <v>Vonoprazan Nitroso Impurity</v>
      </c>
      <c r="C2301" s="6" t="str">
        <f>HYPERLINK("https://www.kmpharma.in/product/38907","KMV047068")</f>
        <v>KMV047068</v>
      </c>
      <c r="D2301" s="6" t="s">
        <v>319</v>
      </c>
      <c r="E2301" s="7" t="s">
        <v>321</v>
      </c>
    </row>
    <row r="2302" spans="1:5" x14ac:dyDescent="0.25">
      <c r="A2302" s="3">
        <v>2301</v>
      </c>
      <c r="B2302" s="3" t="str">
        <f>HYPERLINK("https://www.kmpharma.in/product/38908","Vonoprazan Nitroso Impurity 1")</f>
        <v>Vonoprazan Nitroso Impurity 1</v>
      </c>
      <c r="C2302" s="3" t="str">
        <f>HYPERLINK("https://www.kmpharma.in/product/38908","KMV047069")</f>
        <v>KMV047069</v>
      </c>
      <c r="D2302" s="3" t="s">
        <v>7</v>
      </c>
      <c r="E2302" s="3" t="s">
        <v>16</v>
      </c>
    </row>
    <row r="2303" spans="1:5" x14ac:dyDescent="0.25">
      <c r="A2303" s="6">
        <v>2302</v>
      </c>
      <c r="B2303" s="6" t="str">
        <f>HYPERLINK("https://www.kmpharma.in/product/38909","Vonoprazan Nitroso Impurity 2")</f>
        <v>Vonoprazan Nitroso Impurity 2</v>
      </c>
      <c r="C2303" s="6" t="str">
        <f>HYPERLINK("https://www.kmpharma.in/product/38909","KMV047070")</f>
        <v>KMV047070</v>
      </c>
      <c r="D2303" s="6" t="s">
        <v>7</v>
      </c>
      <c r="E2303" s="7" t="s">
        <v>321</v>
      </c>
    </row>
    <row r="2304" spans="1:5" x14ac:dyDescent="0.25">
      <c r="A2304" s="3">
        <v>2303</v>
      </c>
      <c r="B2304" s="3" t="str">
        <f>HYPERLINK("https://www.kmpharma.in/product/38910","Vonoprazan Nitroso Impurity 3")</f>
        <v>Vonoprazan Nitroso Impurity 3</v>
      </c>
      <c r="C2304" s="3" t="str">
        <f>HYPERLINK("https://www.kmpharma.in/product/38910","KMV047071")</f>
        <v>KMV047071</v>
      </c>
      <c r="D2304" s="3" t="s">
        <v>7</v>
      </c>
      <c r="E2304" s="5" t="s">
        <v>321</v>
      </c>
    </row>
    <row r="2305" spans="1:5" x14ac:dyDescent="0.25">
      <c r="A2305" s="6">
        <v>2304</v>
      </c>
      <c r="B2305" s="6" t="str">
        <f>HYPERLINK("https://www.kmpharma.in/product/38911","Vonoprazan Nitroso Impurity 4")</f>
        <v>Vonoprazan Nitroso Impurity 4</v>
      </c>
      <c r="C2305" s="6" t="str">
        <f>HYPERLINK("https://www.kmpharma.in/product/38911","KMV047072")</f>
        <v>KMV047072</v>
      </c>
      <c r="D2305" s="6" t="s">
        <v>7</v>
      </c>
      <c r="E2305" s="7" t="s">
        <v>321</v>
      </c>
    </row>
    <row r="2306" spans="1:5" x14ac:dyDescent="0.25">
      <c r="A2306" s="3">
        <v>2305</v>
      </c>
      <c r="B2306" s="3" t="str">
        <f>HYPERLINK("https://www.kmpharma.in/product/38912","Vonoprazan Nitroso Impurity 5")</f>
        <v>Vonoprazan Nitroso Impurity 5</v>
      </c>
      <c r="C2306" s="3" t="str">
        <f>HYPERLINK("https://www.kmpharma.in/product/38912","KMV047073")</f>
        <v>KMV047073</v>
      </c>
      <c r="D2306" s="3" t="s">
        <v>7</v>
      </c>
      <c r="E2306" s="5" t="s">
        <v>321</v>
      </c>
    </row>
    <row r="2307" spans="1:5" x14ac:dyDescent="0.25">
      <c r="A2307" s="6">
        <v>2306</v>
      </c>
      <c r="B2307" s="6" t="str">
        <f>HYPERLINK("https://www.kmpharma.in/product/38913","Vonoprazan Nitroso Impurity 6")</f>
        <v>Vonoprazan Nitroso Impurity 6</v>
      </c>
      <c r="C2307" s="6" t="str">
        <f>HYPERLINK("https://www.kmpharma.in/product/38913","KMV047074")</f>
        <v>KMV047074</v>
      </c>
      <c r="D2307" s="6" t="s">
        <v>7</v>
      </c>
      <c r="E2307" s="7" t="s">
        <v>321</v>
      </c>
    </row>
    <row r="2308" spans="1:5" x14ac:dyDescent="0.25">
      <c r="A2308" s="3">
        <v>2307</v>
      </c>
      <c r="B2308" s="3" t="str">
        <f>HYPERLINK("https://www.kmpharma.in/product/38914","Vonoprazan Nitroso Impurity 7")</f>
        <v>Vonoprazan Nitroso Impurity 7</v>
      </c>
      <c r="C2308" s="3" t="str">
        <f>HYPERLINK("https://www.kmpharma.in/product/38914","KMV047075")</f>
        <v>KMV047075</v>
      </c>
      <c r="D2308" s="3" t="s">
        <v>7</v>
      </c>
      <c r="E2308" s="5" t="s">
        <v>321</v>
      </c>
    </row>
    <row r="2309" spans="1:5" x14ac:dyDescent="0.25">
      <c r="A2309" s="6">
        <v>2308</v>
      </c>
      <c r="B2309" s="6" t="str">
        <f>HYPERLINK("https://www.kmpharma.in/product/38915","Vonoprazan Nitroso Impurity 8")</f>
        <v>Vonoprazan Nitroso Impurity 8</v>
      </c>
      <c r="C2309" s="6" t="str">
        <f>HYPERLINK("https://www.kmpharma.in/product/38915","KMV047076")</f>
        <v>KMV047076</v>
      </c>
      <c r="D2309" s="6" t="s">
        <v>7</v>
      </c>
      <c r="E2309" s="7" t="s">
        <v>321</v>
      </c>
    </row>
    <row r="2310" spans="1:5" x14ac:dyDescent="0.25">
      <c r="A2310" s="3">
        <v>2309</v>
      </c>
      <c r="B2310" s="3" t="str">
        <f>HYPERLINK("https://www.kmpharma.in/product/39170","Xylometazoline Nitroso Impurity 1")</f>
        <v>Xylometazoline Nitroso Impurity 1</v>
      </c>
      <c r="C2310" s="3" t="str">
        <f>HYPERLINK("https://www.kmpharma.in/product/39170","KMX006008")</f>
        <v>KMX006008</v>
      </c>
      <c r="D2310" s="3" t="s">
        <v>7</v>
      </c>
      <c r="E2310" s="5" t="s">
        <v>321</v>
      </c>
    </row>
    <row r="2311" spans="1:5" x14ac:dyDescent="0.25">
      <c r="A2311" s="6">
        <v>2310</v>
      </c>
      <c r="B2311" s="6" t="str">
        <f>HYPERLINK("https://www.kmpharma.in/product/39207","Zalunfiban Nitroso Impurity 1")</f>
        <v>Zalunfiban Nitroso Impurity 1</v>
      </c>
      <c r="C2311" s="6" t="str">
        <f>HYPERLINK("https://www.kmpharma.in/product/39207","KMZ010003")</f>
        <v>KMZ010003</v>
      </c>
      <c r="D2311" s="6" t="s">
        <v>7</v>
      </c>
      <c r="E2311" s="7" t="s">
        <v>324</v>
      </c>
    </row>
    <row r="2312" spans="1:5" x14ac:dyDescent="0.25">
      <c r="A2312" s="3">
        <v>2311</v>
      </c>
      <c r="B2312" s="3" t="str">
        <f>HYPERLINK("https://www.kmpharma.in/product/39208","Zalunfiban Nitroso Impurity 2")</f>
        <v>Zalunfiban Nitroso Impurity 2</v>
      </c>
      <c r="C2312" s="3" t="str">
        <f>HYPERLINK("https://www.kmpharma.in/product/39208","KMZ010004")</f>
        <v>KMZ010004</v>
      </c>
      <c r="D2312" s="3" t="s">
        <v>7</v>
      </c>
      <c r="E2312" s="5" t="s">
        <v>321</v>
      </c>
    </row>
    <row r="2313" spans="1:5" x14ac:dyDescent="0.25">
      <c r="A2313" s="6">
        <v>2312</v>
      </c>
      <c r="B2313" s="6" t="str">
        <f>HYPERLINK("https://www.kmpharma.in/product/39241","Zanubrutinib Nitroso Impurity 1")</f>
        <v>Zanubrutinib Nitroso Impurity 1</v>
      </c>
      <c r="C2313" s="6" t="str">
        <f>HYPERLINK("https://www.kmpharma.in/product/39241","KMZ012025")</f>
        <v>KMZ012025</v>
      </c>
      <c r="D2313" s="6" t="s">
        <v>7</v>
      </c>
      <c r="E2313" s="7" t="s">
        <v>321</v>
      </c>
    </row>
    <row r="2314" spans="1:5" x14ac:dyDescent="0.25">
      <c r="A2314" s="3">
        <v>2313</v>
      </c>
      <c r="B2314" s="3" t="str">
        <f>HYPERLINK("https://www.kmpharma.in/product/39312","Zileuton Nitroso Impurity 1")</f>
        <v>Zileuton Nitroso Impurity 1</v>
      </c>
      <c r="C2314" s="3" t="str">
        <f>HYPERLINK("https://www.kmpharma.in/product/39312","KMZ019011")</f>
        <v>KMZ019011</v>
      </c>
      <c r="D2314" s="3" t="s">
        <v>7</v>
      </c>
      <c r="E2314" s="3" t="s">
        <v>16</v>
      </c>
    </row>
    <row r="2315" spans="1:5" x14ac:dyDescent="0.25">
      <c r="A2315" s="6">
        <v>2314</v>
      </c>
      <c r="B2315" s="6" t="str">
        <f>HYPERLINK("https://www.kmpharma.in/product/39360","Ziprasidone Nitroso EP Impurity A")</f>
        <v>Ziprasidone Nitroso EP Impurity A</v>
      </c>
      <c r="C2315" s="6" t="str">
        <f>HYPERLINK("https://www.kmpharma.in/product/39360","KMZ002047")</f>
        <v>KMZ002047</v>
      </c>
      <c r="D2315" s="6" t="s">
        <v>7</v>
      </c>
      <c r="E2315" s="7" t="s">
        <v>321</v>
      </c>
    </row>
    <row r="2316" spans="1:5" x14ac:dyDescent="0.25">
      <c r="A2316" s="3">
        <v>2315</v>
      </c>
      <c r="B2316" s="3" t="str">
        <f>HYPERLINK("https://www.kmpharma.in/product/39359","Ziprasidone Nitroso EP Impurity A D8")</f>
        <v>Ziprasidone Nitroso EP Impurity A D8</v>
      </c>
      <c r="C2316" s="3" t="str">
        <f>HYPERLINK("https://www.kmpharma.in/product/39359","KMZ002048")</f>
        <v>KMZ002048</v>
      </c>
      <c r="D2316" s="3" t="s">
        <v>7</v>
      </c>
      <c r="E2316" s="5" t="s">
        <v>323</v>
      </c>
    </row>
    <row r="2317" spans="1:5" x14ac:dyDescent="0.25">
      <c r="A2317" s="6">
        <v>2316</v>
      </c>
      <c r="B2317" s="6" t="str">
        <f>HYPERLINK("https://www.kmpharma.in/product/209","Zolmitriptan Nitroso Impurity")</f>
        <v>Zolmitriptan Nitroso Impurity</v>
      </c>
      <c r="C2317" s="6" t="str">
        <f>HYPERLINK("https://www.kmpharma.in/product/209","KMZ001001")</f>
        <v>KMZ001001</v>
      </c>
      <c r="D2317" s="6" t="s">
        <v>35</v>
      </c>
      <c r="E2317" s="7" t="s">
        <v>324</v>
      </c>
    </row>
    <row r="2318" spans="1:5" x14ac:dyDescent="0.25">
      <c r="A2318" s="3">
        <v>2317</v>
      </c>
      <c r="B2318" s="3" t="str">
        <f>HYPERLINK("https://www.kmpharma.in/product/39442","Zolmitriptan Nitroso Impurity 1")</f>
        <v>Zolmitriptan Nitroso Impurity 1</v>
      </c>
      <c r="C2318" s="3" t="str">
        <f>HYPERLINK("https://www.kmpharma.in/product/39442","KMZ001040")</f>
        <v>KMZ001040</v>
      </c>
      <c r="D2318" s="3" t="s">
        <v>320</v>
      </c>
      <c r="E2318" s="5" t="s">
        <v>324</v>
      </c>
    </row>
    <row r="2319" spans="1:5" x14ac:dyDescent="0.25">
      <c r="A2319" s="6">
        <v>2318</v>
      </c>
      <c r="B2319" s="6" t="str">
        <f>HYPERLINK("https://www.kmpharma.in/product/39443","Zolmitriptan Nitroso Impurity 5")</f>
        <v>Zolmitriptan Nitroso Impurity 5</v>
      </c>
      <c r="C2319" s="6" t="str">
        <f>HYPERLINK("https://www.kmpharma.in/product/39443","KMZ001041")</f>
        <v>KMZ001041</v>
      </c>
      <c r="D2319" s="6" t="s">
        <v>7</v>
      </c>
      <c r="E2319" s="7" t="s">
        <v>321</v>
      </c>
    </row>
    <row r="2320" spans="1:5" x14ac:dyDescent="0.25">
      <c r="A2320" s="3">
        <v>2319</v>
      </c>
      <c r="B2320" s="3" t="str">
        <f>HYPERLINK("https://www.kmpharma.in/product/39444","Zolmitriptan Nitroso Impurity 6")</f>
        <v>Zolmitriptan Nitroso Impurity 6</v>
      </c>
      <c r="C2320" s="3" t="str">
        <f>HYPERLINK("https://www.kmpharma.in/product/39444","KMZ001042")</f>
        <v>KMZ001042</v>
      </c>
      <c r="D2320" s="3" t="s">
        <v>7</v>
      </c>
      <c r="E2320" s="5" t="s">
        <v>322</v>
      </c>
    </row>
    <row r="2321" spans="1:5" x14ac:dyDescent="0.25">
      <c r="A2321" s="6">
        <v>2320</v>
      </c>
      <c r="B2321" s="6" t="str">
        <f>HYPERLINK("https://www.kmpharma.in/product/39472","Zolpidem Nitroso Impurity 1")</f>
        <v>Zolpidem Nitroso Impurity 1</v>
      </c>
      <c r="C2321" s="6" t="str">
        <f>HYPERLINK("https://www.kmpharma.in/product/39472","KMZ003022")</f>
        <v>KMZ003022</v>
      </c>
      <c r="D2321" s="6" t="s">
        <v>7</v>
      </c>
      <c r="E2321" s="7" t="s">
        <v>322</v>
      </c>
    </row>
    <row r="2322" spans="1:5" x14ac:dyDescent="0.25">
      <c r="A2322" s="3">
        <v>2321</v>
      </c>
      <c r="B2322" s="3" t="str">
        <f>HYPERLINK("https://www.kmpharma.in/product/39470","Zolpidem Nitroso Impurity 2")</f>
        <v>Zolpidem Nitroso Impurity 2</v>
      </c>
      <c r="C2322" s="3" t="str">
        <f>HYPERLINK("https://www.kmpharma.in/product/39470","KMZ003023")</f>
        <v>KMZ003023</v>
      </c>
      <c r="D2322" s="3" t="s">
        <v>7</v>
      </c>
      <c r="E2322" s="5" t="s">
        <v>321</v>
      </c>
    </row>
    <row r="2323" spans="1:5" x14ac:dyDescent="0.25">
      <c r="A2323" s="6">
        <v>2322</v>
      </c>
      <c r="B2323" s="6" t="str">
        <f>HYPERLINK("https://www.kmpharma.in/product/39514","Zopiclone Nitroso Impurity 1")</f>
        <v>Zopiclone Nitroso Impurity 1</v>
      </c>
      <c r="C2323" s="6" t="str">
        <f>HYPERLINK("https://www.kmpharma.in/product/39514","KMZ005031")</f>
        <v>KMZ005031</v>
      </c>
      <c r="D2323" s="6" t="s">
        <v>7</v>
      </c>
      <c r="E2323" s="7" t="s">
        <v>322</v>
      </c>
    </row>
    <row r="2324" spans="1:5" x14ac:dyDescent="0.25">
      <c r="A2324" s="3">
        <v>2323</v>
      </c>
      <c r="B2324" s="3" t="str">
        <f>HYPERLINK("https://www.kmpharma.in/product/23697","α-Hydroxy Desmethyl Olopatadine Nitroso Impurity")</f>
        <v>α-Hydroxy Desmethyl Olopatadine Nitroso Impurity</v>
      </c>
      <c r="C2324" s="3" t="str">
        <f>HYPERLINK("https://www.kmpharma.in/product/23697","KMO024028")</f>
        <v>KMO024028</v>
      </c>
      <c r="D2324" s="3" t="s">
        <v>7</v>
      </c>
      <c r="E2324" s="5" t="s">
        <v>322</v>
      </c>
    </row>
    <row r="2325" spans="1:5" x14ac:dyDescent="0.25">
      <c r="A2325" s="6"/>
      <c r="B2325" s="6"/>
      <c r="C2325" s="6"/>
      <c r="D2325" s="6"/>
      <c r="E2325" s="7"/>
    </row>
    <row r="2326" spans="1:5" x14ac:dyDescent="0.25">
      <c r="A2326" s="3"/>
      <c r="B2326" s="3"/>
      <c r="C2326" s="3"/>
      <c r="D2326" s="3"/>
      <c r="E2326" s="5"/>
    </row>
    <row r="2327" spans="1:5" x14ac:dyDescent="0.25">
      <c r="A2327" s="6"/>
      <c r="B2327" s="6"/>
      <c r="C2327" s="6"/>
      <c r="D2327" s="6"/>
      <c r="E2327" s="7"/>
    </row>
    <row r="2328" spans="1:5" x14ac:dyDescent="0.25">
      <c r="A2328" s="3"/>
      <c r="B2328" s="3"/>
      <c r="C2328" s="3"/>
      <c r="D2328" s="3"/>
      <c r="E2328" s="5"/>
    </row>
    <row r="2329" spans="1:5" x14ac:dyDescent="0.25">
      <c r="A2329" s="6"/>
      <c r="B2329" s="6"/>
      <c r="C2329" s="6"/>
      <c r="D2329" s="6"/>
      <c r="E2329" s="7"/>
    </row>
    <row r="2330" spans="1:5" x14ac:dyDescent="0.25">
      <c r="A2330" s="3"/>
      <c r="B2330" s="3"/>
      <c r="C2330" s="3"/>
      <c r="D2330" s="3"/>
      <c r="E2330" s="5"/>
    </row>
    <row r="2331" spans="1:5" x14ac:dyDescent="0.25">
      <c r="A2331" s="6"/>
      <c r="B2331" s="6"/>
      <c r="C2331" s="6"/>
      <c r="D2331" s="6"/>
      <c r="E2331" s="7"/>
    </row>
    <row r="2332" spans="1:5" x14ac:dyDescent="0.25">
      <c r="A2332" s="3"/>
      <c r="B2332" s="3"/>
      <c r="C2332" s="3"/>
      <c r="D2332" s="3"/>
      <c r="E2332" s="5"/>
    </row>
    <row r="2333" spans="1:5" x14ac:dyDescent="0.25">
      <c r="A2333" s="6"/>
      <c r="B2333" s="6"/>
      <c r="C2333" s="6"/>
      <c r="D2333" s="6"/>
      <c r="E2333" s="7"/>
    </row>
    <row r="2334" spans="1:5" x14ac:dyDescent="0.25">
      <c r="A2334" s="3"/>
      <c r="B2334" s="3"/>
      <c r="C2334" s="3"/>
      <c r="D2334" s="3"/>
      <c r="E2334" s="3"/>
    </row>
    <row r="2335" spans="1:5" x14ac:dyDescent="0.25">
      <c r="A2335" s="6"/>
      <c r="B2335" s="6"/>
      <c r="C2335" s="6"/>
      <c r="D2335" s="6"/>
      <c r="E2335" s="6"/>
    </row>
    <row r="2336" spans="1:5" x14ac:dyDescent="0.25">
      <c r="A2336" s="3"/>
      <c r="B2336" s="3"/>
      <c r="C2336" s="3"/>
      <c r="D2336" s="3"/>
      <c r="E2336" s="3"/>
    </row>
    <row r="2337" spans="1:5" x14ac:dyDescent="0.25">
      <c r="A2337" s="6"/>
      <c r="B2337" s="6"/>
      <c r="C2337" s="6"/>
      <c r="D2337" s="6"/>
      <c r="E2337" s="6"/>
    </row>
    <row r="2338" spans="1:5" x14ac:dyDescent="0.25">
      <c r="A2338" s="3"/>
      <c r="B2338" s="3"/>
      <c r="C2338" s="3"/>
      <c r="D2338" s="3"/>
      <c r="E2338" s="3"/>
    </row>
    <row r="2339" spans="1:5" x14ac:dyDescent="0.25">
      <c r="A2339" s="6"/>
      <c r="B2339" s="6"/>
      <c r="C2339" s="6"/>
      <c r="D2339" s="6"/>
      <c r="E2339" s="6"/>
    </row>
    <row r="2340" spans="1:5" x14ac:dyDescent="0.25">
      <c r="A2340" s="3"/>
      <c r="B2340" s="3"/>
      <c r="C2340" s="3"/>
      <c r="D2340" s="3"/>
      <c r="E2340" s="3"/>
    </row>
    <row r="2341" spans="1:5" x14ac:dyDescent="0.25">
      <c r="A2341" s="6"/>
      <c r="B2341" s="6"/>
      <c r="C2341" s="6"/>
      <c r="D2341" s="6"/>
      <c r="E2341" s="7"/>
    </row>
    <row r="2342" spans="1:5" x14ac:dyDescent="0.25">
      <c r="A2342" s="3"/>
      <c r="B2342" s="3"/>
      <c r="C2342" s="3"/>
      <c r="D2342" s="3"/>
      <c r="E2342" s="5"/>
    </row>
    <row r="2343" spans="1:5" x14ac:dyDescent="0.25">
      <c r="A2343" s="6"/>
      <c r="B2343" s="6"/>
      <c r="C2343" s="6"/>
      <c r="D2343" s="6"/>
      <c r="E2343" s="6"/>
    </row>
    <row r="2344" spans="1:5" x14ac:dyDescent="0.25">
      <c r="A2344" s="3"/>
      <c r="B2344" s="3"/>
      <c r="C2344" s="3"/>
      <c r="D2344" s="3"/>
      <c r="E2344" s="3"/>
    </row>
    <row r="2345" spans="1:5" x14ac:dyDescent="0.25">
      <c r="A2345" s="6"/>
      <c r="B2345" s="6"/>
      <c r="C2345" s="6"/>
      <c r="D2345" s="6"/>
      <c r="E2345" s="7"/>
    </row>
    <row r="2346" spans="1:5" x14ac:dyDescent="0.25">
      <c r="B2346" s="3"/>
      <c r="C2346" s="3"/>
      <c r="D2346" s="3"/>
      <c r="E2346" s="5"/>
    </row>
    <row r="2347" spans="1:5" x14ac:dyDescent="0.25">
      <c r="B2347" s="6"/>
      <c r="C2347" s="6"/>
      <c r="D2347" s="6"/>
      <c r="E2347" s="6"/>
    </row>
    <row r="2348" spans="1:5" x14ac:dyDescent="0.25">
      <c r="B2348" s="3"/>
      <c r="C2348" s="3"/>
      <c r="D2348" s="3"/>
      <c r="E2348" s="3"/>
    </row>
    <row r="2349" spans="1:5" x14ac:dyDescent="0.25">
      <c r="B2349" s="6"/>
      <c r="C2349" s="6"/>
      <c r="D2349" s="6"/>
      <c r="E2349" s="6"/>
    </row>
    <row r="2350" spans="1:5" x14ac:dyDescent="0.25">
      <c r="B2350" s="3"/>
      <c r="C2350" s="3"/>
      <c r="D2350" s="3"/>
      <c r="E2350" s="3"/>
    </row>
    <row r="2351" spans="1:5" x14ac:dyDescent="0.25">
      <c r="B2351" s="6"/>
      <c r="C2351" s="6"/>
      <c r="D2351" s="6"/>
      <c r="E2351" s="6"/>
    </row>
    <row r="2352" spans="1:5" x14ac:dyDescent="0.25">
      <c r="B2352" s="3"/>
      <c r="C2352" s="3"/>
      <c r="D2352" s="3"/>
      <c r="E2352" s="3"/>
    </row>
    <row r="2353" spans="2:5" x14ac:dyDescent="0.25">
      <c r="B2353" s="6"/>
      <c r="C2353" s="6"/>
      <c r="D2353" s="6"/>
      <c r="E2353" s="6"/>
    </row>
    <row r="2354" spans="2:5" x14ac:dyDescent="0.25">
      <c r="B2354" s="3"/>
      <c r="C2354" s="3"/>
      <c r="D2354" s="3"/>
      <c r="E2354" s="3"/>
    </row>
    <row r="2355" spans="2:5" x14ac:dyDescent="0.25">
      <c r="B2355" s="6"/>
      <c r="C2355" s="6"/>
      <c r="D2355" s="6"/>
      <c r="E2355" s="7"/>
    </row>
    <row r="2356" spans="2:5" x14ac:dyDescent="0.25">
      <c r="B2356" s="3"/>
      <c r="C2356" s="3"/>
      <c r="D2356" s="3"/>
      <c r="E2356" s="5"/>
    </row>
    <row r="2357" spans="2:5" x14ac:dyDescent="0.25">
      <c r="B2357" s="6"/>
      <c r="C2357" s="6"/>
      <c r="D2357" s="6"/>
      <c r="E2357" s="7"/>
    </row>
    <row r="2358" spans="2:5" x14ac:dyDescent="0.25">
      <c r="B2358" s="3"/>
      <c r="C2358" s="3"/>
      <c r="D2358" s="3"/>
      <c r="E2358" s="5"/>
    </row>
    <row r="2359" spans="2:5" x14ac:dyDescent="0.25">
      <c r="B2359" s="6"/>
      <c r="C2359" s="6"/>
      <c r="D2359" s="6"/>
      <c r="E2359" s="7"/>
    </row>
    <row r="2360" spans="2:5" x14ac:dyDescent="0.25">
      <c r="B2360" s="3"/>
      <c r="C2360" s="3"/>
      <c r="D2360" s="3"/>
      <c r="E2360" s="5"/>
    </row>
    <row r="2361" spans="2:5" x14ac:dyDescent="0.25">
      <c r="B2361" s="6"/>
      <c r="C2361" s="6"/>
      <c r="D2361" s="6"/>
      <c r="E2361" s="7"/>
    </row>
    <row r="2362" spans="2:5" x14ac:dyDescent="0.25">
      <c r="B2362" s="3"/>
      <c r="C2362" s="3"/>
      <c r="D2362" s="3"/>
      <c r="E2362" s="5"/>
    </row>
    <row r="2363" spans="2:5" x14ac:dyDescent="0.25">
      <c r="B2363" s="6"/>
      <c r="C2363" s="6"/>
      <c r="D2363" s="6"/>
      <c r="E2363" s="6"/>
    </row>
    <row r="2364" spans="2:5" x14ac:dyDescent="0.25">
      <c r="B2364" s="3"/>
      <c r="C2364" s="3"/>
      <c r="D2364" s="3"/>
      <c r="E2364" s="3"/>
    </row>
    <row r="2365" spans="2:5" x14ac:dyDescent="0.25">
      <c r="B2365" s="6"/>
      <c r="C2365" s="6"/>
      <c r="D2365" s="6"/>
      <c r="E2365" s="6"/>
    </row>
    <row r="2366" spans="2:5" x14ac:dyDescent="0.25">
      <c r="B2366" s="3"/>
      <c r="C2366" s="3"/>
      <c r="D2366" s="3"/>
      <c r="E2366" s="5"/>
    </row>
    <row r="2367" spans="2:5" x14ac:dyDescent="0.25">
      <c r="B2367" s="6"/>
      <c r="C2367" s="6"/>
      <c r="D2367" s="6"/>
      <c r="E2367" s="6"/>
    </row>
    <row r="2368" spans="2:5" x14ac:dyDescent="0.25">
      <c r="B2368" s="3"/>
      <c r="C2368" s="3"/>
      <c r="D2368" s="3"/>
      <c r="E2368" s="3"/>
    </row>
    <row r="2369" spans="2:5" x14ac:dyDescent="0.25">
      <c r="B2369" s="6"/>
      <c r="C2369" s="6"/>
      <c r="D2369" s="6"/>
      <c r="E2369" s="7"/>
    </row>
    <row r="2370" spans="2:5" x14ac:dyDescent="0.25">
      <c r="B2370" s="3"/>
      <c r="C2370" s="3"/>
      <c r="D2370" s="3"/>
      <c r="E2370" s="5"/>
    </row>
    <row r="2371" spans="2:5" x14ac:dyDescent="0.25">
      <c r="B2371" s="6"/>
      <c r="C2371" s="6"/>
      <c r="D2371" s="6"/>
      <c r="E2371" s="7"/>
    </row>
    <row r="2372" spans="2:5" x14ac:dyDescent="0.25">
      <c r="B2372" s="3"/>
      <c r="C2372" s="3"/>
      <c r="D2372" s="3"/>
      <c r="E2372" s="5"/>
    </row>
    <row r="2373" spans="2:5" x14ac:dyDescent="0.25">
      <c r="B2373" s="6"/>
      <c r="C2373" s="6"/>
      <c r="D2373" s="6"/>
      <c r="E2373" s="6"/>
    </row>
    <row r="2374" spans="2:5" x14ac:dyDescent="0.25">
      <c r="B2374" s="3"/>
      <c r="C2374" s="3"/>
      <c r="D2374" s="3"/>
      <c r="E2374" s="5"/>
    </row>
    <row r="2375" spans="2:5" x14ac:dyDescent="0.25">
      <c r="B2375" s="6"/>
      <c r="C2375" s="6"/>
      <c r="D2375" s="6"/>
      <c r="E2375" s="6"/>
    </row>
    <row r="2376" spans="2:5" x14ac:dyDescent="0.25">
      <c r="B2376" s="3"/>
      <c r="C2376" s="3"/>
      <c r="D2376" s="3"/>
      <c r="E2376" s="5"/>
    </row>
    <row r="2377" spans="2:5" x14ac:dyDescent="0.25">
      <c r="B2377" s="6"/>
      <c r="C2377" s="6"/>
      <c r="D2377" s="6"/>
      <c r="E2377" s="6"/>
    </row>
    <row r="2378" spans="2:5" x14ac:dyDescent="0.25">
      <c r="B2378" s="3"/>
      <c r="C2378" s="3"/>
      <c r="D2378" s="3"/>
      <c r="E2378" s="5"/>
    </row>
    <row r="2379" spans="2:5" x14ac:dyDescent="0.25">
      <c r="B2379" s="6"/>
      <c r="C2379" s="6"/>
      <c r="D2379" s="6"/>
      <c r="E2379" s="6"/>
    </row>
    <row r="2380" spans="2:5" x14ac:dyDescent="0.25">
      <c r="B2380" s="3"/>
      <c r="C2380" s="3"/>
      <c r="D2380" s="3"/>
      <c r="E2380" s="5"/>
    </row>
    <row r="2381" spans="2:5" x14ac:dyDescent="0.25">
      <c r="B2381" s="6"/>
      <c r="C2381" s="6"/>
      <c r="D2381" s="6"/>
      <c r="E2381" s="7"/>
    </row>
    <row r="2382" spans="2:5" x14ac:dyDescent="0.25">
      <c r="B2382" s="3"/>
      <c r="C2382" s="3"/>
      <c r="D2382" s="3"/>
      <c r="E2382" s="5"/>
    </row>
    <row r="2383" spans="2:5" x14ac:dyDescent="0.25">
      <c r="B2383" s="6"/>
      <c r="C2383" s="6"/>
      <c r="D2383" s="6"/>
      <c r="E2383" s="7"/>
    </row>
    <row r="2384" spans="2:5" x14ac:dyDescent="0.25">
      <c r="B2384" s="3"/>
      <c r="C2384" s="3"/>
      <c r="D2384" s="3"/>
      <c r="E2384" s="5"/>
    </row>
    <row r="2385" spans="2:5" x14ac:dyDescent="0.25">
      <c r="B2385" s="6"/>
      <c r="C2385" s="6"/>
      <c r="D2385" s="6"/>
      <c r="E2385" s="7"/>
    </row>
    <row r="2386" spans="2:5" x14ac:dyDescent="0.25">
      <c r="B2386" s="3"/>
      <c r="C2386" s="3"/>
      <c r="D2386" s="3"/>
      <c r="E2386" s="5"/>
    </row>
    <row r="2387" spans="2:5" x14ac:dyDescent="0.25">
      <c r="B2387" s="6"/>
      <c r="C2387" s="6"/>
      <c r="D2387" s="6"/>
      <c r="E2387" s="7"/>
    </row>
    <row r="2388" spans="2:5" x14ac:dyDescent="0.25">
      <c r="B2388" s="3"/>
      <c r="C2388" s="3"/>
      <c r="D2388" s="3"/>
      <c r="E2388" s="5"/>
    </row>
    <row r="2389" spans="2:5" x14ac:dyDescent="0.25">
      <c r="B2389" s="6"/>
      <c r="C2389" s="6"/>
      <c r="D2389" s="6"/>
      <c r="E2389" s="7"/>
    </row>
    <row r="2390" spans="2:5" x14ac:dyDescent="0.25">
      <c r="B2390" s="3"/>
      <c r="C2390" s="3"/>
      <c r="D2390" s="3"/>
      <c r="E2390" s="5"/>
    </row>
    <row r="2391" spans="2:5" x14ac:dyDescent="0.25">
      <c r="B2391" s="6"/>
      <c r="C2391" s="6"/>
      <c r="D2391" s="6"/>
      <c r="E2391" s="6"/>
    </row>
    <row r="2392" spans="2:5" x14ac:dyDescent="0.25">
      <c r="B2392" s="3"/>
      <c r="C2392" s="3"/>
      <c r="D2392" s="3"/>
      <c r="E2392" s="5"/>
    </row>
    <row r="2393" spans="2:5" x14ac:dyDescent="0.25">
      <c r="B2393" s="6"/>
      <c r="C2393" s="6"/>
      <c r="D2393" s="6"/>
      <c r="E2393" s="6"/>
    </row>
    <row r="2394" spans="2:5" x14ac:dyDescent="0.25">
      <c r="B2394" s="3"/>
      <c r="C2394" s="3"/>
      <c r="D2394" s="3"/>
      <c r="E2394" s="5"/>
    </row>
    <row r="2395" spans="2:5" x14ac:dyDescent="0.25">
      <c r="B2395" s="6"/>
      <c r="C2395" s="6"/>
      <c r="D2395" s="6"/>
      <c r="E2395" s="7"/>
    </row>
    <row r="2396" spans="2:5" x14ac:dyDescent="0.25">
      <c r="B2396" s="3"/>
      <c r="C2396" s="3"/>
      <c r="D2396" s="3"/>
      <c r="E2396" s="5"/>
    </row>
    <row r="2397" spans="2:5" x14ac:dyDescent="0.25">
      <c r="B2397" s="6"/>
      <c r="C2397" s="6"/>
      <c r="D2397" s="6"/>
      <c r="E2397" s="7"/>
    </row>
    <row r="2398" spans="2:5" x14ac:dyDescent="0.25">
      <c r="B2398" s="3"/>
      <c r="C2398" s="3"/>
      <c r="D2398" s="3"/>
      <c r="E2398" s="5"/>
    </row>
    <row r="2399" spans="2:5" x14ac:dyDescent="0.25">
      <c r="B2399" s="6"/>
      <c r="C2399" s="6"/>
      <c r="D2399" s="6"/>
      <c r="E2399" s="7"/>
    </row>
    <row r="2400" spans="2:5" x14ac:dyDescent="0.25">
      <c r="B2400" s="3"/>
      <c r="C2400" s="3"/>
      <c r="D2400" s="3"/>
      <c r="E2400" s="5"/>
    </row>
    <row r="2401" spans="2:5" x14ac:dyDescent="0.25">
      <c r="B2401" s="6"/>
      <c r="C2401" s="6"/>
      <c r="D2401" s="6"/>
      <c r="E2401" s="7"/>
    </row>
    <row r="2402" spans="2:5" x14ac:dyDescent="0.25">
      <c r="B2402" s="3"/>
      <c r="C2402" s="3"/>
      <c r="D2402" s="3"/>
      <c r="E2402" s="5"/>
    </row>
    <row r="2403" spans="2:5" x14ac:dyDescent="0.25">
      <c r="B2403" s="6"/>
      <c r="C2403" s="6"/>
      <c r="D2403" s="6"/>
      <c r="E2403" s="7"/>
    </row>
    <row r="2404" spans="2:5" x14ac:dyDescent="0.25">
      <c r="B2404" s="3"/>
      <c r="C2404" s="3"/>
      <c r="D2404" s="3"/>
      <c r="E2404" s="5"/>
    </row>
    <row r="2405" spans="2:5" x14ac:dyDescent="0.25">
      <c r="B2405" s="6"/>
      <c r="C2405" s="6"/>
      <c r="D2405" s="6"/>
      <c r="E2405" s="6"/>
    </row>
    <row r="2406" spans="2:5" x14ac:dyDescent="0.25">
      <c r="B2406" s="3"/>
      <c r="C2406" s="3"/>
      <c r="D2406" s="3"/>
      <c r="E2406" s="5"/>
    </row>
    <row r="2407" spans="2:5" x14ac:dyDescent="0.25">
      <c r="B2407" s="6"/>
      <c r="C2407" s="6"/>
      <c r="D2407" s="6"/>
      <c r="E2407" s="7"/>
    </row>
    <row r="2408" spans="2:5" x14ac:dyDescent="0.25">
      <c r="B2408" s="3"/>
      <c r="C2408" s="3"/>
      <c r="D2408" s="3"/>
      <c r="E2408" s="3"/>
    </row>
    <row r="2409" spans="2:5" x14ac:dyDescent="0.25">
      <c r="B2409" s="6"/>
      <c r="C2409" s="6"/>
      <c r="D2409" s="6"/>
      <c r="E2409" s="6"/>
    </row>
    <row r="2410" spans="2:5" x14ac:dyDescent="0.25">
      <c r="B2410" s="3"/>
      <c r="C2410" s="3"/>
      <c r="D2410" s="3"/>
      <c r="E2410" s="3"/>
    </row>
    <row r="2411" spans="2:5" x14ac:dyDescent="0.25">
      <c r="B2411" s="6"/>
      <c r="C2411" s="6"/>
      <c r="D2411" s="6"/>
      <c r="E2411" s="7"/>
    </row>
    <row r="2412" spans="2:5" x14ac:dyDescent="0.25">
      <c r="B2412" s="3"/>
      <c r="C2412" s="3"/>
      <c r="D2412" s="3"/>
      <c r="E2412" s="3"/>
    </row>
    <row r="2413" spans="2:5" x14ac:dyDescent="0.25">
      <c r="B2413" s="6"/>
      <c r="C2413" s="6"/>
      <c r="D2413" s="6"/>
      <c r="E2413" s="6"/>
    </row>
    <row r="2414" spans="2:5" x14ac:dyDescent="0.25">
      <c r="B2414" s="3"/>
      <c r="C2414" s="3"/>
      <c r="D2414" s="3"/>
      <c r="E2414" s="3"/>
    </row>
    <row r="2415" spans="2:5" x14ac:dyDescent="0.25">
      <c r="B2415" s="6"/>
      <c r="C2415" s="6"/>
      <c r="D2415" s="6"/>
      <c r="E2415" s="7"/>
    </row>
    <row r="2416" spans="2:5" x14ac:dyDescent="0.25">
      <c r="B2416" s="3"/>
      <c r="C2416" s="3"/>
      <c r="D2416" s="3"/>
      <c r="E2416" s="3"/>
    </row>
    <row r="2417" spans="2:5" x14ac:dyDescent="0.25">
      <c r="B2417" s="6"/>
      <c r="C2417" s="6"/>
      <c r="D2417" s="6"/>
      <c r="E2417" s="7"/>
    </row>
    <row r="2418" spans="2:5" x14ac:dyDescent="0.25">
      <c r="B2418" s="3"/>
      <c r="C2418" s="3"/>
      <c r="D2418" s="3"/>
      <c r="E2418" s="5"/>
    </row>
    <row r="2419" spans="2:5" x14ac:dyDescent="0.25">
      <c r="B2419" s="6"/>
      <c r="C2419" s="6"/>
      <c r="D2419" s="6"/>
      <c r="E2419" s="7"/>
    </row>
    <row r="2420" spans="2:5" x14ac:dyDescent="0.25">
      <c r="B2420" s="3"/>
      <c r="C2420" s="3"/>
      <c r="D2420" s="3"/>
      <c r="E2420" s="5"/>
    </row>
    <row r="2421" spans="2:5" x14ac:dyDescent="0.25">
      <c r="B2421" s="6"/>
      <c r="C2421" s="6"/>
      <c r="D2421" s="6"/>
      <c r="E2421" s="7"/>
    </row>
    <row r="2422" spans="2:5" x14ac:dyDescent="0.25">
      <c r="B2422" s="3"/>
      <c r="C2422" s="3"/>
      <c r="D2422" s="3"/>
      <c r="E2422" s="5"/>
    </row>
    <row r="2423" spans="2:5" x14ac:dyDescent="0.25">
      <c r="B2423" s="6"/>
      <c r="C2423" s="6"/>
      <c r="D2423" s="6"/>
      <c r="E2423" s="6"/>
    </row>
    <row r="2424" spans="2:5" x14ac:dyDescent="0.25">
      <c r="B2424" s="3"/>
      <c r="C2424" s="3"/>
      <c r="D2424" s="3"/>
      <c r="E2424" s="3"/>
    </row>
    <row r="2425" spans="2:5" x14ac:dyDescent="0.25">
      <c r="B2425" s="6"/>
      <c r="C2425" s="6"/>
      <c r="D2425" s="6"/>
      <c r="E2425" s="7"/>
    </row>
    <row r="2426" spans="2:5" x14ac:dyDescent="0.25">
      <c r="B2426" s="3"/>
      <c r="C2426" s="3"/>
      <c r="D2426" s="3"/>
      <c r="E2426" s="5"/>
    </row>
    <row r="2427" spans="2:5" x14ac:dyDescent="0.25">
      <c r="B2427" s="6"/>
      <c r="C2427" s="6"/>
      <c r="D2427" s="6"/>
      <c r="E2427" s="7"/>
    </row>
    <row r="2428" spans="2:5" x14ac:dyDescent="0.25">
      <c r="B2428" s="3"/>
      <c r="C2428" s="3"/>
      <c r="D2428" s="3"/>
      <c r="E2428" s="3"/>
    </row>
    <row r="2429" spans="2:5" x14ac:dyDescent="0.25">
      <c r="B2429" s="6"/>
      <c r="C2429" s="6"/>
      <c r="D2429" s="6"/>
      <c r="E2429" s="7"/>
    </row>
    <row r="2430" spans="2:5" x14ac:dyDescent="0.25">
      <c r="B2430" s="3"/>
      <c r="C2430" s="3"/>
      <c r="D2430" s="3"/>
      <c r="E2430" s="5"/>
    </row>
    <row r="2431" spans="2:5" x14ac:dyDescent="0.25">
      <c r="B2431" s="6"/>
      <c r="C2431" s="6"/>
      <c r="D2431" s="6"/>
      <c r="E2431" s="7"/>
    </row>
    <row r="2432" spans="2:5" x14ac:dyDescent="0.25">
      <c r="B2432" s="3"/>
      <c r="C2432" s="3"/>
      <c r="D2432" s="3"/>
      <c r="E2432" s="3"/>
    </row>
    <row r="2433" spans="2:5" x14ac:dyDescent="0.25">
      <c r="B2433" s="6"/>
      <c r="C2433" s="6"/>
      <c r="D2433" s="6"/>
      <c r="E2433" s="6"/>
    </row>
    <row r="2434" spans="2:5" x14ac:dyDescent="0.25">
      <c r="B2434" s="3"/>
      <c r="C2434" s="3"/>
      <c r="D2434" s="3"/>
      <c r="E2434" s="5"/>
    </row>
    <row r="2435" spans="2:5" x14ac:dyDescent="0.25">
      <c r="B2435" s="6"/>
      <c r="C2435" s="6"/>
      <c r="D2435" s="6"/>
      <c r="E2435" s="7"/>
    </row>
    <row r="2436" spans="2:5" x14ac:dyDescent="0.25">
      <c r="B2436" s="3"/>
      <c r="C2436" s="3"/>
      <c r="D2436" s="3"/>
      <c r="E2436" s="5"/>
    </row>
    <row r="2437" spans="2:5" x14ac:dyDescent="0.25">
      <c r="B2437" s="6"/>
      <c r="C2437" s="6"/>
      <c r="D2437" s="6"/>
      <c r="E2437" s="7"/>
    </row>
    <row r="2438" spans="2:5" x14ac:dyDescent="0.25">
      <c r="B2438" s="3"/>
      <c r="C2438" s="3"/>
      <c r="D2438" s="3"/>
      <c r="E2438" s="5"/>
    </row>
    <row r="2439" spans="2:5" x14ac:dyDescent="0.25">
      <c r="B2439" s="6"/>
      <c r="C2439" s="6"/>
      <c r="D2439" s="6"/>
      <c r="E2439" s="6"/>
    </row>
    <row r="2440" spans="2:5" x14ac:dyDescent="0.25">
      <c r="B2440" s="3"/>
      <c r="C2440" s="3"/>
      <c r="D2440" s="3"/>
      <c r="E2440" s="5"/>
    </row>
    <row r="2441" spans="2:5" x14ac:dyDescent="0.25">
      <c r="B2441" s="6"/>
      <c r="C2441" s="6"/>
      <c r="D2441" s="6"/>
      <c r="E2441" s="7"/>
    </row>
    <row r="2442" spans="2:5" x14ac:dyDescent="0.25">
      <c r="B2442" s="3"/>
      <c r="C2442" s="3"/>
      <c r="D2442" s="3"/>
      <c r="E2442" s="5"/>
    </row>
    <row r="2443" spans="2:5" x14ac:dyDescent="0.25">
      <c r="B2443" s="6"/>
      <c r="C2443" s="6"/>
      <c r="D2443" s="6"/>
      <c r="E2443" s="7"/>
    </row>
    <row r="2444" spans="2:5" x14ac:dyDescent="0.25">
      <c r="B2444" s="3"/>
      <c r="C2444" s="3"/>
      <c r="D2444" s="3"/>
      <c r="E2444" s="5"/>
    </row>
    <row r="2445" spans="2:5" x14ac:dyDescent="0.25">
      <c r="B2445" s="6"/>
      <c r="C2445" s="6"/>
      <c r="D2445" s="6"/>
      <c r="E2445" s="7"/>
    </row>
    <row r="2446" spans="2:5" x14ac:dyDescent="0.25">
      <c r="B2446" s="3"/>
      <c r="C2446" s="3"/>
      <c r="D2446" s="3"/>
      <c r="E2446" s="5"/>
    </row>
    <row r="2447" spans="2:5" x14ac:dyDescent="0.25">
      <c r="B2447" s="6"/>
      <c r="C2447" s="6"/>
      <c r="D2447" s="6"/>
      <c r="E2447" s="7"/>
    </row>
    <row r="2448" spans="2:5" x14ac:dyDescent="0.25">
      <c r="B2448" s="3"/>
      <c r="C2448" s="3"/>
      <c r="D2448" s="3"/>
      <c r="E2448" s="5"/>
    </row>
    <row r="2449" spans="2:5" x14ac:dyDescent="0.25">
      <c r="B2449" s="6"/>
      <c r="C2449" s="6"/>
      <c r="D2449" s="6"/>
      <c r="E2449" s="7"/>
    </row>
    <row r="2450" spans="2:5" x14ac:dyDescent="0.25">
      <c r="B2450" s="3"/>
      <c r="C2450" s="3"/>
      <c r="D2450" s="3"/>
      <c r="E2450" s="3"/>
    </row>
    <row r="2451" spans="2:5" x14ac:dyDescent="0.25">
      <c r="B2451" s="6"/>
      <c r="C2451" s="6"/>
      <c r="D2451" s="6"/>
      <c r="E2451" s="6"/>
    </row>
    <row r="2452" spans="2:5" x14ac:dyDescent="0.25">
      <c r="B2452" s="3"/>
      <c r="C2452" s="3"/>
      <c r="D2452" s="3"/>
      <c r="E2452" s="5"/>
    </row>
    <row r="2453" spans="2:5" x14ac:dyDescent="0.25">
      <c r="B2453" s="6"/>
      <c r="C2453" s="6"/>
      <c r="D2453" s="6"/>
      <c r="E2453" s="7"/>
    </row>
    <row r="2454" spans="2:5" x14ac:dyDescent="0.25">
      <c r="B2454" s="3"/>
      <c r="C2454" s="3"/>
      <c r="D2454" s="3"/>
      <c r="E2454" s="5"/>
    </row>
    <row r="2455" spans="2:5" x14ac:dyDescent="0.25">
      <c r="B2455" s="6"/>
      <c r="C2455" s="6"/>
      <c r="D2455" s="6"/>
      <c r="E2455" s="7"/>
    </row>
    <row r="2456" spans="2:5" x14ac:dyDescent="0.25">
      <c r="B2456" s="3"/>
      <c r="C2456" s="3"/>
      <c r="D2456" s="3"/>
      <c r="E2456" s="5"/>
    </row>
    <row r="2457" spans="2:5" x14ac:dyDescent="0.25">
      <c r="B2457" s="6"/>
      <c r="C2457" s="6"/>
      <c r="D2457" s="6"/>
      <c r="E2457" s="7"/>
    </row>
    <row r="2458" spans="2:5" x14ac:dyDescent="0.25">
      <c r="B2458" s="3"/>
      <c r="C2458" s="3"/>
      <c r="D2458" s="3"/>
      <c r="E2458" s="5"/>
    </row>
    <row r="2459" spans="2:5" x14ac:dyDescent="0.25">
      <c r="B2459" s="6"/>
      <c r="C2459" s="6"/>
      <c r="D2459" s="6"/>
      <c r="E2459" s="7"/>
    </row>
    <row r="2460" spans="2:5" x14ac:dyDescent="0.25">
      <c r="B2460" s="3"/>
      <c r="C2460" s="3"/>
      <c r="D2460" s="3"/>
      <c r="E2460" s="5"/>
    </row>
    <row r="2461" spans="2:5" x14ac:dyDescent="0.25">
      <c r="B2461" s="6"/>
      <c r="C2461" s="6"/>
      <c r="D2461" s="6"/>
      <c r="E2461" s="7"/>
    </row>
    <row r="2462" spans="2:5" x14ac:dyDescent="0.25">
      <c r="B2462" s="3"/>
      <c r="C2462" s="3"/>
      <c r="D2462" s="3"/>
      <c r="E2462" s="5"/>
    </row>
    <row r="2463" spans="2:5" x14ac:dyDescent="0.25">
      <c r="B2463" s="6"/>
      <c r="C2463" s="6"/>
      <c r="D2463" s="6"/>
      <c r="E2463" s="7"/>
    </row>
    <row r="2464" spans="2:5" x14ac:dyDescent="0.25">
      <c r="B2464" s="3"/>
      <c r="C2464" s="3"/>
      <c r="D2464" s="3"/>
      <c r="E2464" s="5"/>
    </row>
    <row r="2465" spans="2:5" x14ac:dyDescent="0.25">
      <c r="B2465" s="6"/>
      <c r="C2465" s="6"/>
      <c r="D2465" s="6"/>
      <c r="E2465" s="6"/>
    </row>
    <row r="2466" spans="2:5" x14ac:dyDescent="0.25">
      <c r="B2466" s="3"/>
      <c r="C2466" s="3"/>
      <c r="D2466" s="3"/>
      <c r="E2466" s="5"/>
    </row>
    <row r="2467" spans="2:5" x14ac:dyDescent="0.25">
      <c r="B2467" s="6"/>
      <c r="C2467" s="6"/>
      <c r="D2467" s="6"/>
      <c r="E2467" s="7"/>
    </row>
    <row r="2468" spans="2:5" x14ac:dyDescent="0.25">
      <c r="B2468" s="3"/>
      <c r="C2468" s="3"/>
      <c r="D2468" s="3"/>
      <c r="E2468" s="5"/>
    </row>
    <row r="2469" spans="2:5" x14ac:dyDescent="0.25">
      <c r="B2469" s="6"/>
      <c r="C2469" s="6"/>
      <c r="D2469" s="6"/>
      <c r="E2469" s="6"/>
    </row>
    <row r="2470" spans="2:5" x14ac:dyDescent="0.25">
      <c r="B2470" s="3"/>
      <c r="C2470" s="3"/>
      <c r="D2470" s="3"/>
      <c r="E2470" s="5"/>
    </row>
    <row r="2471" spans="2:5" x14ac:dyDescent="0.25">
      <c r="B2471" s="6"/>
      <c r="C2471" s="6"/>
      <c r="D2471" s="6"/>
      <c r="E2471" s="7"/>
    </row>
    <row r="2472" spans="2:5" x14ac:dyDescent="0.25">
      <c r="B2472" s="3"/>
      <c r="C2472" s="3"/>
      <c r="D2472" s="3"/>
      <c r="E2472" s="5"/>
    </row>
    <row r="2473" spans="2:5" x14ac:dyDescent="0.25">
      <c r="B2473" s="6"/>
      <c r="C2473" s="6"/>
      <c r="D2473" s="6"/>
      <c r="E2473" s="7"/>
    </row>
    <row r="2474" spans="2:5" x14ac:dyDescent="0.25">
      <c r="B2474" s="3"/>
      <c r="C2474" s="3"/>
      <c r="D2474" s="3"/>
      <c r="E2474" s="5"/>
    </row>
    <row r="2475" spans="2:5" x14ac:dyDescent="0.25">
      <c r="B2475" s="6"/>
      <c r="C2475" s="6"/>
      <c r="D2475" s="6"/>
      <c r="E2475" s="7"/>
    </row>
    <row r="2476" spans="2:5" x14ac:dyDescent="0.25">
      <c r="B2476" s="3"/>
      <c r="C2476" s="3"/>
      <c r="D2476" s="3"/>
      <c r="E2476" s="5"/>
    </row>
    <row r="2477" spans="2:5" x14ac:dyDescent="0.25">
      <c r="B2477" s="6"/>
      <c r="C2477" s="6"/>
      <c r="D2477" s="6"/>
      <c r="E2477" s="7"/>
    </row>
    <row r="2478" spans="2:5" x14ac:dyDescent="0.25">
      <c r="B2478" s="3"/>
      <c r="C2478" s="3"/>
      <c r="D2478" s="3"/>
      <c r="E2478" s="5"/>
    </row>
    <row r="2479" spans="2:5" x14ac:dyDescent="0.25">
      <c r="B2479" s="6"/>
      <c r="C2479" s="6"/>
      <c r="D2479" s="6"/>
      <c r="E2479" s="7"/>
    </row>
    <row r="2480" spans="2:5" x14ac:dyDescent="0.25">
      <c r="B2480" s="3"/>
      <c r="C2480" s="3"/>
      <c r="D2480" s="3"/>
      <c r="E2480" s="3"/>
    </row>
    <row r="2481" spans="2:5" x14ac:dyDescent="0.25">
      <c r="B2481" s="6"/>
      <c r="C2481" s="6"/>
      <c r="D2481" s="6"/>
      <c r="E2481" s="6"/>
    </row>
    <row r="2482" spans="2:5" x14ac:dyDescent="0.25">
      <c r="E2482" s="5"/>
    </row>
    <row r="2483" spans="2:5" x14ac:dyDescent="0.25">
      <c r="E2483" s="7"/>
    </row>
    <row r="2484" spans="2:5" x14ac:dyDescent="0.25">
      <c r="E2484" s="5"/>
    </row>
    <row r="2485" spans="2:5" x14ac:dyDescent="0.25">
      <c r="E2485" s="7"/>
    </row>
    <row r="2486" spans="2:5" x14ac:dyDescent="0.25">
      <c r="E2486" s="5"/>
    </row>
    <row r="2487" spans="2:5" x14ac:dyDescent="0.25">
      <c r="E2487" s="6"/>
    </row>
    <row r="2488" spans="2:5" x14ac:dyDescent="0.25">
      <c r="E2488" s="5"/>
    </row>
    <row r="2489" spans="2:5" x14ac:dyDescent="0.25">
      <c r="E2489" s="7"/>
    </row>
    <row r="2490" spans="2:5" x14ac:dyDescent="0.25">
      <c r="E2490" s="5"/>
    </row>
    <row r="2491" spans="2:5" x14ac:dyDescent="0.25">
      <c r="E2491" s="7"/>
    </row>
    <row r="2492" spans="2:5" x14ac:dyDescent="0.25">
      <c r="E2492" s="5"/>
    </row>
    <row r="2493" spans="2:5" x14ac:dyDescent="0.25">
      <c r="E2493" s="7"/>
    </row>
    <row r="2494" spans="2:5" x14ac:dyDescent="0.25">
      <c r="E2494" s="5"/>
    </row>
    <row r="2495" spans="2:5" x14ac:dyDescent="0.25">
      <c r="E2495" s="7"/>
    </row>
    <row r="2496" spans="2:5" x14ac:dyDescent="0.25">
      <c r="E2496" s="5"/>
    </row>
    <row r="2497" spans="5:5" x14ac:dyDescent="0.25">
      <c r="E2497" s="7"/>
    </row>
    <row r="2498" spans="5:5" x14ac:dyDescent="0.25">
      <c r="E2498" s="5"/>
    </row>
    <row r="2499" spans="5:5" x14ac:dyDescent="0.25">
      <c r="E2499" s="6"/>
    </row>
    <row r="2500" spans="5:5" x14ac:dyDescent="0.25">
      <c r="E2500" s="3"/>
    </row>
    <row r="2501" spans="5:5" x14ac:dyDescent="0.25">
      <c r="E2501" s="6"/>
    </row>
    <row r="2502" spans="5:5" x14ac:dyDescent="0.25">
      <c r="E2502" s="5"/>
    </row>
    <row r="2503" spans="5:5" x14ac:dyDescent="0.25">
      <c r="E2503" s="7"/>
    </row>
    <row r="2504" spans="5:5" x14ac:dyDescent="0.25">
      <c r="E2504" s="5"/>
    </row>
    <row r="2505" spans="5:5" x14ac:dyDescent="0.25">
      <c r="E2505" s="7"/>
    </row>
    <row r="2506" spans="5:5" x14ac:dyDescent="0.25">
      <c r="E2506" s="5"/>
    </row>
    <row r="2507" spans="5:5" x14ac:dyDescent="0.25">
      <c r="E2507" s="7"/>
    </row>
    <row r="2508" spans="5:5" x14ac:dyDescent="0.25">
      <c r="E2508" s="5"/>
    </row>
    <row r="2509" spans="5:5" x14ac:dyDescent="0.25">
      <c r="E2509" s="6"/>
    </row>
    <row r="2510" spans="5:5" x14ac:dyDescent="0.25">
      <c r="E2510" s="3"/>
    </row>
    <row r="2511" spans="5:5" x14ac:dyDescent="0.25">
      <c r="E2511" s="6"/>
    </row>
    <row r="2512" spans="5:5" x14ac:dyDescent="0.25">
      <c r="E2512" s="3"/>
    </row>
    <row r="2513" spans="5:5" x14ac:dyDescent="0.25">
      <c r="E2513" s="7"/>
    </row>
    <row r="2514" spans="5:5" x14ac:dyDescent="0.25">
      <c r="E2514" s="3"/>
    </row>
    <row r="2515" spans="5:5" x14ac:dyDescent="0.25">
      <c r="E2515" s="7"/>
    </row>
    <row r="2516" spans="5:5" x14ac:dyDescent="0.25">
      <c r="E2516" s="5"/>
    </row>
    <row r="2517" spans="5:5" x14ac:dyDescent="0.25">
      <c r="E2517" s="7"/>
    </row>
    <row r="2518" spans="5:5" x14ac:dyDescent="0.25">
      <c r="E2518" s="5"/>
    </row>
    <row r="2519" spans="5:5" x14ac:dyDescent="0.25">
      <c r="E2519" s="7"/>
    </row>
    <row r="2520" spans="5:5" x14ac:dyDescent="0.25">
      <c r="E2520" s="5"/>
    </row>
    <row r="2521" spans="5:5" x14ac:dyDescent="0.25">
      <c r="E2521" s="7"/>
    </row>
    <row r="2522" spans="5:5" x14ac:dyDescent="0.25">
      <c r="E2522" s="5"/>
    </row>
    <row r="2523" spans="5:5" x14ac:dyDescent="0.25">
      <c r="E2523" s="7"/>
    </row>
    <row r="2524" spans="5:5" x14ac:dyDescent="0.25">
      <c r="E2524" s="5"/>
    </row>
    <row r="2525" spans="5:5" x14ac:dyDescent="0.25">
      <c r="E2525" s="7"/>
    </row>
    <row r="2526" spans="5:5" x14ac:dyDescent="0.25">
      <c r="E2526" s="5"/>
    </row>
    <row r="2527" spans="5:5" x14ac:dyDescent="0.25">
      <c r="E2527" s="7"/>
    </row>
    <row r="2528" spans="5:5" x14ac:dyDescent="0.25">
      <c r="E2528" s="5"/>
    </row>
    <row r="2529" spans="5:5" x14ac:dyDescent="0.25">
      <c r="E2529" s="7"/>
    </row>
    <row r="2530" spans="5:5" x14ac:dyDescent="0.25">
      <c r="E2530" s="5"/>
    </row>
    <row r="2531" spans="5:5" x14ac:dyDescent="0.25">
      <c r="E2531" s="7"/>
    </row>
    <row r="2532" spans="5:5" x14ac:dyDescent="0.25">
      <c r="E2532" s="5"/>
    </row>
    <row r="2533" spans="5:5" x14ac:dyDescent="0.25">
      <c r="E2533" s="7"/>
    </row>
    <row r="2534" spans="5:5" x14ac:dyDescent="0.25">
      <c r="E2534" s="5"/>
    </row>
    <row r="2535" spans="5:5" x14ac:dyDescent="0.25">
      <c r="E2535" s="7"/>
    </row>
    <row r="2536" spans="5:5" x14ac:dyDescent="0.25">
      <c r="E2536" s="5"/>
    </row>
    <row r="2537" spans="5:5" x14ac:dyDescent="0.25">
      <c r="E2537" s="7"/>
    </row>
    <row r="2538" spans="5:5" x14ac:dyDescent="0.25">
      <c r="E2538" s="5"/>
    </row>
    <row r="2539" spans="5:5" x14ac:dyDescent="0.25">
      <c r="E2539" s="7"/>
    </row>
    <row r="2540" spans="5:5" x14ac:dyDescent="0.25">
      <c r="E2540" s="5"/>
    </row>
    <row r="2541" spans="5:5" x14ac:dyDescent="0.25">
      <c r="E2541" s="7"/>
    </row>
    <row r="2542" spans="5:5" x14ac:dyDescent="0.25">
      <c r="E2542" s="5"/>
    </row>
    <row r="2543" spans="5:5" x14ac:dyDescent="0.25">
      <c r="E2543" s="7"/>
    </row>
    <row r="2544" spans="5:5" x14ac:dyDescent="0.25">
      <c r="E2544" s="5"/>
    </row>
    <row r="2545" spans="5:5" x14ac:dyDescent="0.25">
      <c r="E2545" s="6"/>
    </row>
    <row r="2546" spans="5:5" x14ac:dyDescent="0.25">
      <c r="E2546" s="3"/>
    </row>
    <row r="2547" spans="5:5" x14ac:dyDescent="0.25">
      <c r="E2547" s="6"/>
    </row>
    <row r="2548" spans="5:5" x14ac:dyDescent="0.25">
      <c r="E2548" s="5"/>
    </row>
    <row r="2549" spans="5:5" x14ac:dyDescent="0.25">
      <c r="E2549" s="7"/>
    </row>
    <row r="2550" spans="5:5" x14ac:dyDescent="0.25">
      <c r="E2550" s="5"/>
    </row>
    <row r="2551" spans="5:5" x14ac:dyDescent="0.25">
      <c r="E2551" s="7"/>
    </row>
    <row r="2552" spans="5:5" x14ac:dyDescent="0.25">
      <c r="E2552" s="5"/>
    </row>
    <row r="2553" spans="5:5" x14ac:dyDescent="0.25">
      <c r="E2553" s="7"/>
    </row>
    <row r="2554" spans="5:5" x14ac:dyDescent="0.25">
      <c r="E2554" s="5"/>
    </row>
    <row r="2555" spans="5:5" x14ac:dyDescent="0.25">
      <c r="E2555" s="7"/>
    </row>
    <row r="2556" spans="5:5" x14ac:dyDescent="0.25">
      <c r="E2556" s="5"/>
    </row>
    <row r="2557" spans="5:5" x14ac:dyDescent="0.25">
      <c r="E2557" s="7"/>
    </row>
    <row r="2558" spans="5:5" x14ac:dyDescent="0.25">
      <c r="E2558" s="5"/>
    </row>
    <row r="2559" spans="5:5" x14ac:dyDescent="0.25">
      <c r="E2559" s="7"/>
    </row>
    <row r="2560" spans="5:5" x14ac:dyDescent="0.25">
      <c r="E2560" s="5"/>
    </row>
    <row r="2561" spans="5:5" x14ac:dyDescent="0.25">
      <c r="E2561" s="7"/>
    </row>
    <row r="2562" spans="5:5" x14ac:dyDescent="0.25">
      <c r="E2562" s="5"/>
    </row>
    <row r="2563" spans="5:5" x14ac:dyDescent="0.25">
      <c r="E2563" s="7"/>
    </row>
    <row r="2564" spans="5:5" x14ac:dyDescent="0.25">
      <c r="E2564" s="5"/>
    </row>
    <row r="2565" spans="5:5" x14ac:dyDescent="0.25">
      <c r="E2565" s="7"/>
    </row>
    <row r="2566" spans="5:5" x14ac:dyDescent="0.25">
      <c r="E2566" s="3"/>
    </row>
    <row r="2567" spans="5:5" x14ac:dyDescent="0.25">
      <c r="E2567" s="7"/>
    </row>
    <row r="2568" spans="5:5" x14ac:dyDescent="0.25">
      <c r="E2568" s="5"/>
    </row>
    <row r="2569" spans="5:5" x14ac:dyDescent="0.25">
      <c r="E2569" s="7"/>
    </row>
    <row r="2570" spans="5:5" x14ac:dyDescent="0.25">
      <c r="E2570" s="5"/>
    </row>
    <row r="2571" spans="5:5" x14ac:dyDescent="0.25">
      <c r="E2571" s="7"/>
    </row>
    <row r="2572" spans="5:5" x14ac:dyDescent="0.25">
      <c r="E2572" s="5"/>
    </row>
    <row r="2573" spans="5:5" x14ac:dyDescent="0.25">
      <c r="E2573" s="7"/>
    </row>
    <row r="2574" spans="5:5" x14ac:dyDescent="0.25">
      <c r="E2574" s="5"/>
    </row>
    <row r="2575" spans="5:5" x14ac:dyDescent="0.25">
      <c r="E2575" s="6"/>
    </row>
    <row r="2576" spans="5:5" x14ac:dyDescent="0.25">
      <c r="E2576" s="5"/>
    </row>
    <row r="2577" spans="5:5" x14ac:dyDescent="0.25">
      <c r="E2577" s="7"/>
    </row>
    <row r="2578" spans="5:5" x14ac:dyDescent="0.25">
      <c r="E2578" s="5"/>
    </row>
    <row r="2579" spans="5:5" x14ac:dyDescent="0.25">
      <c r="E2579" s="7"/>
    </row>
    <row r="2580" spans="5:5" x14ac:dyDescent="0.25">
      <c r="E2580" s="5"/>
    </row>
    <row r="2581" spans="5:5" x14ac:dyDescent="0.25">
      <c r="E2581" s="7"/>
    </row>
    <row r="2582" spans="5:5" x14ac:dyDescent="0.25">
      <c r="E2582" s="5"/>
    </row>
    <row r="2583" spans="5:5" x14ac:dyDescent="0.25">
      <c r="E2583" s="7"/>
    </row>
    <row r="2584" spans="5:5" x14ac:dyDescent="0.25">
      <c r="E2584" s="5"/>
    </row>
    <row r="2585" spans="5:5" x14ac:dyDescent="0.25">
      <c r="E2585" s="7"/>
    </row>
    <row r="2586" spans="5:5" x14ac:dyDescent="0.25">
      <c r="E2586" s="5"/>
    </row>
    <row r="2587" spans="5:5" x14ac:dyDescent="0.25">
      <c r="E2587" s="7"/>
    </row>
    <row r="2588" spans="5:5" x14ac:dyDescent="0.25">
      <c r="E2588" s="5"/>
    </row>
    <row r="2589" spans="5:5" x14ac:dyDescent="0.25">
      <c r="E2589" s="7"/>
    </row>
    <row r="2590" spans="5:5" x14ac:dyDescent="0.25">
      <c r="E2590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KALPESH MENPARA</cp:lastModifiedBy>
  <dcterms:modified xsi:type="dcterms:W3CDTF">2024-10-03T10:41:11Z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2024-10-03T10:01:20+00:00</dcterms:created>
  <dcterms:modified xsi:type="dcterms:W3CDTF">2024-10-03T10:01:20+00:00</dcterms:modified>
  <cp:revision>0</cp:revision>
</cp:coreProperties>
</file>